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2\"/>
    </mc:Choice>
  </mc:AlternateContent>
  <bookViews>
    <workbookView xWindow="0" yWindow="0" windowWidth="20520" windowHeight="9465" activeTab="2"/>
  </bookViews>
  <sheets>
    <sheet name="Formats" sheetId="10" r:id="rId1"/>
    <sheet name="Assumptions" sheetId="12" r:id="rId2"/>
    <sheet name="Workings" sheetId="13" r:id="rId3"/>
  </sheets>
  <definedNames>
    <definedName name="_xlnm._FilterDatabase" localSheetId="2" hidden="1">Workings!$D$16:$AG$52</definedName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67" i="13" l="1"/>
  <c r="W66" i="13"/>
  <c r="P13" i="13"/>
  <c r="Q13" i="13" s="1"/>
  <c r="R13" i="13" s="1"/>
  <c r="S13" i="13" s="1"/>
  <c r="T13" i="13" s="1"/>
  <c r="U13" i="13" s="1"/>
  <c r="V13" i="13" s="1"/>
  <c r="W13" i="13" s="1"/>
  <c r="X13" i="13" s="1"/>
  <c r="P15" i="13"/>
  <c r="Y15" i="13" s="1"/>
  <c r="Q15" i="13"/>
  <c r="Z15" i="13" s="1"/>
  <c r="R15" i="13"/>
  <c r="AA15" i="13" s="1"/>
  <c r="S15" i="13"/>
  <c r="AB15" i="13" s="1"/>
  <c r="T15" i="13"/>
  <c r="AC15" i="13" s="1"/>
  <c r="U15" i="13"/>
  <c r="AD15" i="13" s="1"/>
  <c r="V15" i="13"/>
  <c r="AE15" i="13" s="1"/>
  <c r="W15" i="13"/>
  <c r="AF15" i="13" s="1"/>
  <c r="X15" i="13"/>
  <c r="AG15" i="13" s="1"/>
  <c r="H15" i="13"/>
  <c r="H18" i="13" s="1"/>
  <c r="F26" i="13"/>
  <c r="F19" i="13"/>
  <c r="F32" i="13"/>
  <c r="F17" i="13"/>
  <c r="F34" i="13"/>
  <c r="F29" i="13"/>
  <c r="F30" i="13"/>
  <c r="F25" i="13"/>
  <c r="F36" i="13"/>
  <c r="F50" i="13"/>
  <c r="F43" i="13"/>
  <c r="F52" i="13"/>
  <c r="F40" i="13"/>
  <c r="F27" i="13"/>
  <c r="F22" i="13"/>
  <c r="F39" i="13"/>
  <c r="F37" i="13"/>
  <c r="F49" i="13"/>
  <c r="F47" i="13"/>
  <c r="F42" i="13"/>
  <c r="F24" i="13"/>
  <c r="F21" i="13"/>
  <c r="F38" i="13"/>
  <c r="F44" i="13"/>
  <c r="F45" i="13"/>
  <c r="F18" i="13"/>
  <c r="F33" i="13"/>
  <c r="F48" i="13"/>
  <c r="F51" i="13"/>
  <c r="F23" i="13"/>
  <c r="F35" i="13"/>
  <c r="F41" i="13"/>
  <c r="F31" i="13"/>
  <c r="F46" i="13"/>
  <c r="F20" i="13"/>
  <c r="F28" i="13"/>
  <c r="I28" i="12"/>
  <c r="J28" i="12"/>
  <c r="K28" i="12"/>
  <c r="L28" i="12"/>
  <c r="M28" i="12"/>
  <c r="N28" i="12"/>
  <c r="O28" i="12"/>
  <c r="P28" i="12"/>
  <c r="H28" i="12"/>
  <c r="H51" i="12"/>
  <c r="P40" i="12"/>
  <c r="P39" i="12"/>
  <c r="P38" i="12"/>
  <c r="P37" i="12"/>
  <c r="P36" i="12"/>
  <c r="P35" i="12"/>
  <c r="P34" i="12"/>
  <c r="P33" i="12"/>
  <c r="O39" i="12"/>
  <c r="O38" i="12"/>
  <c r="O37" i="12"/>
  <c r="O36" i="12"/>
  <c r="O35" i="12"/>
  <c r="O34" i="12"/>
  <c r="O33" i="12"/>
  <c r="N38" i="12"/>
  <c r="N37" i="12"/>
  <c r="N36" i="12"/>
  <c r="N35" i="12"/>
  <c r="N34" i="12"/>
  <c r="N33" i="12"/>
  <c r="M37" i="12"/>
  <c r="M36" i="12"/>
  <c r="M35" i="12"/>
  <c r="M34" i="12"/>
  <c r="M33" i="12"/>
  <c r="L36" i="12"/>
  <c r="L35" i="12"/>
  <c r="L34" i="12"/>
  <c r="L33" i="12"/>
  <c r="K35" i="12"/>
  <c r="K34" i="12"/>
  <c r="K33" i="12"/>
  <c r="J34" i="12"/>
  <c r="J33" i="12"/>
  <c r="I33" i="12"/>
  <c r="X57" i="13" l="1"/>
  <c r="V57" i="13"/>
  <c r="T57" i="13"/>
  <c r="R57" i="13"/>
  <c r="P57" i="13"/>
  <c r="W57" i="13"/>
  <c r="U57" i="13"/>
  <c r="S57" i="13"/>
  <c r="Q57" i="13"/>
  <c r="P16" i="13"/>
  <c r="Y16" i="13" s="1"/>
  <c r="W16" i="13"/>
  <c r="AF16" i="13" s="1"/>
  <c r="U16" i="13"/>
  <c r="AD16" i="13" s="1"/>
  <c r="S16" i="13"/>
  <c r="AB16" i="13" s="1"/>
  <c r="Q16" i="13"/>
  <c r="Z16" i="13" s="1"/>
  <c r="X16" i="13"/>
  <c r="AG16" i="13" s="1"/>
  <c r="V16" i="13"/>
  <c r="AE16" i="13" s="1"/>
  <c r="T16" i="13"/>
  <c r="AC16" i="13" s="1"/>
  <c r="R16" i="13"/>
  <c r="AA16" i="13" s="1"/>
  <c r="G52" i="13"/>
  <c r="G50" i="13"/>
  <c r="G48" i="13"/>
  <c r="G46" i="13"/>
  <c r="G44" i="13"/>
  <c r="G42" i="13"/>
  <c r="G40" i="13"/>
  <c r="G38" i="13"/>
  <c r="G36" i="13"/>
  <c r="G34" i="13"/>
  <c r="G32" i="13"/>
  <c r="G30" i="13"/>
  <c r="G28" i="13"/>
  <c r="G26" i="13"/>
  <c r="G24" i="13"/>
  <c r="G22" i="13"/>
  <c r="G20" i="13"/>
  <c r="G18" i="13"/>
  <c r="I18" i="13" s="1"/>
  <c r="J18" i="13" s="1"/>
  <c r="H17" i="13"/>
  <c r="H51" i="13"/>
  <c r="H49" i="13"/>
  <c r="H47" i="13"/>
  <c r="H45" i="13"/>
  <c r="H43" i="13"/>
  <c r="H41" i="13"/>
  <c r="H39" i="13"/>
  <c r="H37" i="13"/>
  <c r="H35" i="13"/>
  <c r="H33" i="13"/>
  <c r="H31" i="13"/>
  <c r="H29" i="13"/>
  <c r="H27" i="13"/>
  <c r="H25" i="13"/>
  <c r="H23" i="13"/>
  <c r="H21" i="13"/>
  <c r="H19" i="13"/>
  <c r="G51" i="13"/>
  <c r="G49" i="13"/>
  <c r="G47" i="13"/>
  <c r="G45" i="13"/>
  <c r="G43" i="13"/>
  <c r="G41" i="13"/>
  <c r="G39" i="13"/>
  <c r="G37" i="13"/>
  <c r="G35" i="13"/>
  <c r="G33" i="13"/>
  <c r="G31" i="13"/>
  <c r="G29" i="13"/>
  <c r="G27" i="13"/>
  <c r="G25" i="13"/>
  <c r="G23" i="13"/>
  <c r="G21" i="13"/>
  <c r="G19" i="13"/>
  <c r="G17" i="13"/>
  <c r="H52" i="13"/>
  <c r="H50" i="13"/>
  <c r="H48" i="13"/>
  <c r="H46" i="13"/>
  <c r="H44" i="13"/>
  <c r="H42" i="13"/>
  <c r="H40" i="13"/>
  <c r="H38" i="13"/>
  <c r="H36" i="13"/>
  <c r="H34" i="13"/>
  <c r="H32" i="13"/>
  <c r="H30" i="13"/>
  <c r="H28" i="13"/>
  <c r="H26" i="13"/>
  <c r="H24" i="13"/>
  <c r="H22" i="13"/>
  <c r="H20" i="13"/>
  <c r="P23" i="12"/>
  <c r="O23" i="12"/>
  <c r="N23" i="12"/>
  <c r="M23" i="12"/>
  <c r="L23" i="12"/>
  <c r="K23" i="12"/>
  <c r="J23" i="12"/>
  <c r="I23" i="12"/>
  <c r="H23" i="12"/>
  <c r="P17" i="12"/>
  <c r="O17" i="12"/>
  <c r="N17" i="12"/>
  <c r="M17" i="12"/>
  <c r="L17" i="12"/>
  <c r="K17" i="12"/>
  <c r="J17" i="12"/>
  <c r="I17" i="12"/>
  <c r="H17" i="12"/>
  <c r="L17" i="13" l="1"/>
  <c r="K17" i="13"/>
  <c r="I21" i="13"/>
  <c r="J21" i="13" s="1"/>
  <c r="I25" i="13"/>
  <c r="J25" i="13" s="1"/>
  <c r="I29" i="13"/>
  <c r="J29" i="13" s="1"/>
  <c r="I33" i="13"/>
  <c r="J33" i="13" s="1"/>
  <c r="I37" i="13"/>
  <c r="J37" i="13" s="1"/>
  <c r="I41" i="13"/>
  <c r="J41" i="13" s="1"/>
  <c r="I45" i="13"/>
  <c r="J45" i="13" s="1"/>
  <c r="I49" i="13"/>
  <c r="J49" i="13" s="1"/>
  <c r="I19" i="13"/>
  <c r="J19" i="13" s="1"/>
  <c r="I23" i="13"/>
  <c r="J23" i="13" s="1"/>
  <c r="I27" i="13"/>
  <c r="J27" i="13" s="1"/>
  <c r="I31" i="13"/>
  <c r="J31" i="13" s="1"/>
  <c r="I35" i="13"/>
  <c r="J35" i="13" s="1"/>
  <c r="I39" i="13"/>
  <c r="J39" i="13" s="1"/>
  <c r="I43" i="13"/>
  <c r="J43" i="13" s="1"/>
  <c r="I47" i="13"/>
  <c r="J47" i="13" s="1"/>
  <c r="I51" i="13"/>
  <c r="J51" i="13" s="1"/>
  <c r="I22" i="13"/>
  <c r="J22" i="13" s="1"/>
  <c r="I26" i="13"/>
  <c r="J26" i="13" s="1"/>
  <c r="I30" i="13"/>
  <c r="J30" i="13" s="1"/>
  <c r="I34" i="13"/>
  <c r="J34" i="13" s="1"/>
  <c r="I38" i="13"/>
  <c r="J38" i="13" s="1"/>
  <c r="I42" i="13"/>
  <c r="J42" i="13" s="1"/>
  <c r="I46" i="13"/>
  <c r="J46" i="13" s="1"/>
  <c r="I50" i="13"/>
  <c r="J50" i="13" s="1"/>
  <c r="I17" i="13"/>
  <c r="J17" i="13" s="1"/>
  <c r="I20" i="13"/>
  <c r="J20" i="13" s="1"/>
  <c r="I24" i="13"/>
  <c r="J24" i="13" s="1"/>
  <c r="I28" i="13"/>
  <c r="J28" i="13" s="1"/>
  <c r="I32" i="13"/>
  <c r="J32" i="13" s="1"/>
  <c r="I36" i="13"/>
  <c r="J36" i="13" s="1"/>
  <c r="I40" i="13"/>
  <c r="J40" i="13" s="1"/>
  <c r="I44" i="13"/>
  <c r="J44" i="13" s="1"/>
  <c r="I48" i="13"/>
  <c r="J48" i="13" s="1"/>
  <c r="I52" i="13"/>
  <c r="J52" i="13" s="1"/>
  <c r="A11" i="13"/>
  <c r="M17" i="13" l="1"/>
  <c r="Q17" i="13" l="1"/>
  <c r="Z17" i="13" s="1"/>
  <c r="S17" i="13"/>
  <c r="AB17" i="13" s="1"/>
  <c r="U17" i="13"/>
  <c r="AD17" i="13" s="1"/>
  <c r="L18" i="13" s="1"/>
  <c r="W17" i="13"/>
  <c r="AF17" i="13" s="1"/>
  <c r="N17" i="13"/>
  <c r="O17" i="13" s="1"/>
  <c r="P17" i="13"/>
  <c r="Y17" i="13" s="1"/>
  <c r="R17" i="13"/>
  <c r="AA17" i="13" s="1"/>
  <c r="T17" i="13"/>
  <c r="AC17" i="13" s="1"/>
  <c r="K18" i="13" s="1"/>
  <c r="V17" i="13"/>
  <c r="AE17" i="13" s="1"/>
  <c r="X17" i="13"/>
  <c r="AG17" i="13" s="1"/>
  <c r="M18" i="13" l="1"/>
  <c r="P18" i="13" s="1"/>
  <c r="Y18" i="13" s="1"/>
  <c r="K19" i="13" s="1"/>
  <c r="N18" i="13" l="1"/>
  <c r="X18" i="13"/>
  <c r="AG18" i="13" s="1"/>
  <c r="S18" i="13"/>
  <c r="AB18" i="13" s="1"/>
  <c r="L19" i="13" s="1"/>
  <c r="M19" i="13" s="1"/>
  <c r="W19" i="13" s="1"/>
  <c r="AF19" i="13" s="1"/>
  <c r="K20" i="13" s="1"/>
  <c r="V18" i="13"/>
  <c r="AE18" i="13" s="1"/>
  <c r="Q18" i="13"/>
  <c r="Z18" i="13" s="1"/>
  <c r="W18" i="13"/>
  <c r="AF18" i="13" s="1"/>
  <c r="U18" i="13"/>
  <c r="AD18" i="13" s="1"/>
  <c r="R18" i="13"/>
  <c r="AA18" i="13" s="1"/>
  <c r="Q19" i="13"/>
  <c r="Z19" i="13" s="1"/>
  <c r="V19" i="13"/>
  <c r="AE19" i="13" s="1"/>
  <c r="X19" i="13" l="1"/>
  <c r="AG19" i="13" s="1"/>
  <c r="L20" i="13" s="1"/>
  <c r="M20" i="13" s="1"/>
  <c r="U19" i="13"/>
  <c r="AD19" i="13" s="1"/>
  <c r="O18" i="13"/>
  <c r="T18" i="13"/>
  <c r="AC18" i="13" s="1"/>
  <c r="N19" i="13"/>
  <c r="O19" i="13" s="1"/>
  <c r="R19" i="13"/>
  <c r="AA19" i="13" s="1"/>
  <c r="T19" i="13"/>
  <c r="AC19" i="13" s="1"/>
  <c r="S19" i="13"/>
  <c r="AB19" i="13" s="1"/>
  <c r="T20" i="13" l="1"/>
  <c r="AC20" i="13" s="1"/>
  <c r="R20" i="13"/>
  <c r="AA20" i="13" s="1"/>
  <c r="Q20" i="13"/>
  <c r="Z20" i="13" s="1"/>
  <c r="V20" i="13"/>
  <c r="AE20" i="13" s="1"/>
  <c r="N20" i="13"/>
  <c r="O20" i="13" s="1"/>
  <c r="U20" i="13"/>
  <c r="AD20" i="13" s="1"/>
  <c r="L21" i="13" s="1"/>
  <c r="S20" i="13"/>
  <c r="AB20" i="13" s="1"/>
  <c r="K21" i="13" s="1"/>
  <c r="P19" i="13"/>
  <c r="M21" i="13"/>
  <c r="N21" i="13" s="1"/>
  <c r="O21" i="13" s="1"/>
  <c r="W20" i="13"/>
  <c r="AF20" i="13" s="1"/>
  <c r="X20" i="13"/>
  <c r="AG20" i="13" s="1"/>
  <c r="Y19" i="13" l="1"/>
  <c r="P20" i="13"/>
  <c r="Y20" i="13" s="1"/>
  <c r="Q21" i="13"/>
  <c r="Z21" i="13" s="1"/>
  <c r="S21" i="13"/>
  <c r="AB21" i="13" s="1"/>
  <c r="L22" i="13" s="1"/>
  <c r="U21" i="13"/>
  <c r="AD21" i="13" s="1"/>
  <c r="W21" i="13"/>
  <c r="AF21" i="13" s="1"/>
  <c r="R21" i="13"/>
  <c r="AA21" i="13" s="1"/>
  <c r="K22" i="13" s="1"/>
  <c r="V21" i="13"/>
  <c r="AE21" i="13" s="1"/>
  <c r="P21" i="13"/>
  <c r="Y21" i="13" s="1"/>
  <c r="T21" i="13"/>
  <c r="AC21" i="13" s="1"/>
  <c r="X21" i="13"/>
  <c r="AG21" i="13" s="1"/>
  <c r="M22" i="13" l="1"/>
  <c r="P22" i="13" l="1"/>
  <c r="Y22" i="13" s="1"/>
  <c r="R22" i="13"/>
  <c r="AA22" i="13" s="1"/>
  <c r="T22" i="13"/>
  <c r="AC22" i="13" s="1"/>
  <c r="V22" i="13"/>
  <c r="AE22" i="13" s="1"/>
  <c r="L23" i="13" s="1"/>
  <c r="X22" i="13"/>
  <c r="AG22" i="13" s="1"/>
  <c r="Q22" i="13"/>
  <c r="Z22" i="13" s="1"/>
  <c r="U22" i="13"/>
  <c r="AD22" i="13" s="1"/>
  <c r="K23" i="13" s="1"/>
  <c r="S22" i="13"/>
  <c r="AB22" i="13" s="1"/>
  <c r="W22" i="13"/>
  <c r="AF22" i="13" s="1"/>
  <c r="N22" i="13"/>
  <c r="O22" i="13" s="1"/>
  <c r="M23" i="13" l="1"/>
  <c r="Q23" i="13" l="1"/>
  <c r="Z23" i="13" s="1"/>
  <c r="S23" i="13"/>
  <c r="AB23" i="13" s="1"/>
  <c r="K24" i="13" s="1"/>
  <c r="U23" i="13"/>
  <c r="AD23" i="13" s="1"/>
  <c r="W23" i="13"/>
  <c r="AF23" i="13" s="1"/>
  <c r="P23" i="13"/>
  <c r="Y23" i="13" s="1"/>
  <c r="T23" i="13"/>
  <c r="AC23" i="13" s="1"/>
  <c r="L24" i="13" s="1"/>
  <c r="X23" i="13"/>
  <c r="AG23" i="13" s="1"/>
  <c r="R23" i="13"/>
  <c r="AA23" i="13" s="1"/>
  <c r="V23" i="13"/>
  <c r="AE23" i="13" s="1"/>
  <c r="N23" i="13"/>
  <c r="O23" i="13" s="1"/>
  <c r="M24" i="13" l="1"/>
  <c r="P24" i="13" l="1"/>
  <c r="Y24" i="13" s="1"/>
  <c r="R24" i="13"/>
  <c r="AA24" i="13" s="1"/>
  <c r="L25" i="13" s="1"/>
  <c r="T24" i="13"/>
  <c r="AC24" i="13" s="1"/>
  <c r="V24" i="13"/>
  <c r="AE24" i="13" s="1"/>
  <c r="X24" i="13"/>
  <c r="AG24" i="13" s="1"/>
  <c r="S24" i="13"/>
  <c r="AB24" i="13" s="1"/>
  <c r="W24" i="13"/>
  <c r="AF24" i="13" s="1"/>
  <c r="Q24" i="13"/>
  <c r="Z24" i="13" s="1"/>
  <c r="K25" i="13" s="1"/>
  <c r="M25" i="13" s="1"/>
  <c r="U24" i="13"/>
  <c r="AD24" i="13" s="1"/>
  <c r="N24" i="13"/>
  <c r="O24" i="13" s="1"/>
  <c r="Q25" i="13" l="1"/>
  <c r="Z25" i="13" s="1"/>
  <c r="S25" i="13"/>
  <c r="AB25" i="13" s="1"/>
  <c r="U25" i="13"/>
  <c r="AD25" i="13" s="1"/>
  <c r="W25" i="13"/>
  <c r="AF25" i="13" s="1"/>
  <c r="R25" i="13"/>
  <c r="AA25" i="13" s="1"/>
  <c r="L26" i="13" s="1"/>
  <c r="V25" i="13"/>
  <c r="AE25" i="13" s="1"/>
  <c r="P25" i="13"/>
  <c r="Y25" i="13" s="1"/>
  <c r="K26" i="13" s="1"/>
  <c r="M26" i="13" s="1"/>
  <c r="T25" i="13"/>
  <c r="AC25" i="13" s="1"/>
  <c r="X25" i="13"/>
  <c r="AG25" i="13" s="1"/>
  <c r="N25" i="13"/>
  <c r="O25" i="13" s="1"/>
  <c r="T26" i="13" l="1"/>
  <c r="AC26" i="13" s="1"/>
  <c r="V26" i="13"/>
  <c r="AE26" i="13" s="1"/>
  <c r="X26" i="13"/>
  <c r="AG26" i="13" s="1"/>
  <c r="L27" i="13" s="1"/>
  <c r="Q26" i="13"/>
  <c r="Z26" i="13" s="1"/>
  <c r="K27" i="13" s="1"/>
  <c r="U26" i="13"/>
  <c r="AD26" i="13" s="1"/>
  <c r="S26" i="13"/>
  <c r="AB26" i="13" s="1"/>
  <c r="W26" i="13"/>
  <c r="AF26" i="13" s="1"/>
  <c r="N26" i="13"/>
  <c r="O26" i="13" s="1"/>
  <c r="M27" i="13" l="1"/>
  <c r="Q27" i="13" s="1"/>
  <c r="Z27" i="13" s="1"/>
  <c r="L28" i="13" s="1"/>
  <c r="R26" i="13"/>
  <c r="AA26" i="13" s="1"/>
  <c r="P26" i="13"/>
  <c r="Y26" i="13" s="1"/>
  <c r="V27" i="13" l="1"/>
  <c r="AE27" i="13" s="1"/>
  <c r="W27" i="13"/>
  <c r="AF27" i="13" s="1"/>
  <c r="X27" i="13"/>
  <c r="AG27" i="13" s="1"/>
  <c r="S27" i="13"/>
  <c r="AB27" i="13" s="1"/>
  <c r="N27" i="13"/>
  <c r="O27" i="13" s="1"/>
  <c r="R27" i="13"/>
  <c r="AA27" i="13" s="1"/>
  <c r="T27" i="13"/>
  <c r="AC27" i="13" s="1"/>
  <c r="U27" i="13"/>
  <c r="AD27" i="13" s="1"/>
  <c r="P27" i="13"/>
  <c r="Y27" i="13" s="1"/>
  <c r="K28" i="13" s="1"/>
  <c r="M28" i="13" s="1"/>
  <c r="R28" i="13" l="1"/>
  <c r="AA28" i="13" s="1"/>
  <c r="T28" i="13"/>
  <c r="AC28" i="13" s="1"/>
  <c r="V28" i="13"/>
  <c r="AE28" i="13" s="1"/>
  <c r="X28" i="13"/>
  <c r="AG28" i="13" s="1"/>
  <c r="S28" i="13"/>
  <c r="AB28" i="13" s="1"/>
  <c r="W28" i="13"/>
  <c r="AF28" i="13" s="1"/>
  <c r="L29" i="13" s="1"/>
  <c r="U28" i="13"/>
  <c r="AD28" i="13" s="1"/>
  <c r="N28" i="13"/>
  <c r="O28" i="13" s="1"/>
  <c r="Q28" i="13" l="1"/>
  <c r="Z28" i="13" s="1"/>
  <c r="P28" i="13"/>
  <c r="Y28" i="13" s="1"/>
  <c r="K29" i="13" s="1"/>
  <c r="M29" i="13" s="1"/>
  <c r="Q29" i="13" l="1"/>
  <c r="Z29" i="13" s="1"/>
  <c r="S29" i="13"/>
  <c r="AB29" i="13" s="1"/>
  <c r="U29" i="13"/>
  <c r="AD29" i="13" s="1"/>
  <c r="W29" i="13"/>
  <c r="AF29" i="13" s="1"/>
  <c r="R29" i="13"/>
  <c r="AA29" i="13" s="1"/>
  <c r="V29" i="13"/>
  <c r="AE29" i="13" s="1"/>
  <c r="P29" i="13"/>
  <c r="Y29" i="13" s="1"/>
  <c r="K30" i="13" s="1"/>
  <c r="T29" i="13"/>
  <c r="AC29" i="13" s="1"/>
  <c r="X29" i="13"/>
  <c r="AG29" i="13" s="1"/>
  <c r="L30" i="13" s="1"/>
  <c r="N29" i="13"/>
  <c r="O29" i="13" s="1"/>
  <c r="M30" i="13" l="1"/>
  <c r="P30" i="13" l="1"/>
  <c r="Y30" i="13" s="1"/>
  <c r="R30" i="13"/>
  <c r="AA30" i="13" s="1"/>
  <c r="T30" i="13"/>
  <c r="AC30" i="13" s="1"/>
  <c r="V30" i="13"/>
  <c r="AE30" i="13" s="1"/>
  <c r="K31" i="13" s="1"/>
  <c r="X30" i="13"/>
  <c r="AG30" i="13" s="1"/>
  <c r="Q30" i="13"/>
  <c r="Z30" i="13" s="1"/>
  <c r="U30" i="13"/>
  <c r="AD30" i="13" s="1"/>
  <c r="S30" i="13"/>
  <c r="AB30" i="13" s="1"/>
  <c r="W30" i="13"/>
  <c r="AF30" i="13" s="1"/>
  <c r="L31" i="13" s="1"/>
  <c r="N30" i="13"/>
  <c r="O30" i="13" s="1"/>
  <c r="M31" i="13" l="1"/>
  <c r="Q31" i="13" s="1"/>
  <c r="Z31" i="13" s="1"/>
  <c r="R31" i="13" l="1"/>
  <c r="AA31" i="13" s="1"/>
  <c r="N31" i="13"/>
  <c r="O31" i="13" s="1"/>
  <c r="T31" i="13"/>
  <c r="AC31" i="13" s="1"/>
  <c r="L32" i="13" s="1"/>
  <c r="S31" i="13"/>
  <c r="AB31" i="13" s="1"/>
  <c r="V31" i="13"/>
  <c r="AE31" i="13" s="1"/>
  <c r="X31" i="13"/>
  <c r="AG31" i="13" s="1"/>
  <c r="P31" i="13"/>
  <c r="Y31" i="13" s="1"/>
  <c r="K32" i="13" s="1"/>
  <c r="M32" i="13" s="1"/>
  <c r="U31" i="13"/>
  <c r="AD31" i="13" s="1"/>
  <c r="W31" i="13" l="1"/>
  <c r="AF31" i="13" s="1"/>
  <c r="P32" i="13"/>
  <c r="Y32" i="13" s="1"/>
  <c r="R32" i="13"/>
  <c r="AA32" i="13" s="1"/>
  <c r="T32" i="13"/>
  <c r="AC32" i="13" s="1"/>
  <c r="K33" i="13" s="1"/>
  <c r="V32" i="13"/>
  <c r="AE32" i="13" s="1"/>
  <c r="L33" i="13" s="1"/>
  <c r="X32" i="13"/>
  <c r="AG32" i="13" s="1"/>
  <c r="S32" i="13"/>
  <c r="AB32" i="13" s="1"/>
  <c r="Q32" i="13"/>
  <c r="Z32" i="13" s="1"/>
  <c r="U32" i="13"/>
  <c r="AD32" i="13" s="1"/>
  <c r="N32" i="13"/>
  <c r="O32" i="13" s="1"/>
  <c r="W32" i="13" l="1"/>
  <c r="AF32" i="13" s="1"/>
  <c r="M33" i="13"/>
  <c r="Q33" i="13" l="1"/>
  <c r="Z33" i="13" s="1"/>
  <c r="S33" i="13"/>
  <c r="AB33" i="13" s="1"/>
  <c r="U33" i="13"/>
  <c r="AD33" i="13" s="1"/>
  <c r="W33" i="13"/>
  <c r="AF33" i="13" s="1"/>
  <c r="R33" i="13"/>
  <c r="AA33" i="13" s="1"/>
  <c r="V33" i="13"/>
  <c r="AE33" i="13" s="1"/>
  <c r="L34" i="13" s="1"/>
  <c r="P33" i="13"/>
  <c r="Y33" i="13" s="1"/>
  <c r="K34" i="13" s="1"/>
  <c r="T33" i="13"/>
  <c r="AC33" i="13" s="1"/>
  <c r="X33" i="13"/>
  <c r="AG33" i="13" s="1"/>
  <c r="N33" i="13"/>
  <c r="O33" i="13" s="1"/>
  <c r="M34" i="13" l="1"/>
  <c r="P34" i="13" l="1"/>
  <c r="Y34" i="13" s="1"/>
  <c r="R34" i="13"/>
  <c r="AA34" i="13" s="1"/>
  <c r="T34" i="13"/>
  <c r="AC34" i="13" s="1"/>
  <c r="V34" i="13"/>
  <c r="AE34" i="13" s="1"/>
  <c r="X34" i="13"/>
  <c r="AG34" i="13" s="1"/>
  <c r="Q34" i="13"/>
  <c r="Z34" i="13" s="1"/>
  <c r="U34" i="13"/>
  <c r="AD34" i="13" s="1"/>
  <c r="K35" i="13" s="1"/>
  <c r="S34" i="13"/>
  <c r="AB34" i="13" s="1"/>
  <c r="W34" i="13"/>
  <c r="AF34" i="13" s="1"/>
  <c r="L35" i="13" s="1"/>
  <c r="N34" i="13"/>
  <c r="O34" i="13" s="1"/>
  <c r="M35" i="13" l="1"/>
  <c r="Q35" i="13" l="1"/>
  <c r="Z35" i="13" s="1"/>
  <c r="K36" i="13" s="1"/>
  <c r="S35" i="13"/>
  <c r="AB35" i="13" s="1"/>
  <c r="L36" i="13" s="1"/>
  <c r="U35" i="13"/>
  <c r="AD35" i="13" s="1"/>
  <c r="W35" i="13"/>
  <c r="AF35" i="13" s="1"/>
  <c r="P35" i="13"/>
  <c r="Y35" i="13" s="1"/>
  <c r="T35" i="13"/>
  <c r="AC35" i="13" s="1"/>
  <c r="X35" i="13"/>
  <c r="AG35" i="13" s="1"/>
  <c r="R35" i="13"/>
  <c r="AA35" i="13" s="1"/>
  <c r="V35" i="13"/>
  <c r="AE35" i="13" s="1"/>
  <c r="N35" i="13"/>
  <c r="O35" i="13" s="1"/>
  <c r="M36" i="13" l="1"/>
  <c r="P36" i="13" l="1"/>
  <c r="Y36" i="13" s="1"/>
  <c r="R36" i="13"/>
  <c r="AA36" i="13" s="1"/>
  <c r="K37" i="13" s="1"/>
  <c r="T36" i="13"/>
  <c r="AC36" i="13" s="1"/>
  <c r="V36" i="13"/>
  <c r="AE36" i="13" s="1"/>
  <c r="S36" i="13"/>
  <c r="AB36" i="13" s="1"/>
  <c r="W36" i="13"/>
  <c r="AF36" i="13" s="1"/>
  <c r="Q36" i="13"/>
  <c r="Z36" i="13" s="1"/>
  <c r="U36" i="13"/>
  <c r="AD36" i="13" s="1"/>
  <c r="L37" i="13" s="1"/>
  <c r="X36" i="13"/>
  <c r="AG36" i="13" s="1"/>
  <c r="N36" i="13"/>
  <c r="O36" i="13" s="1"/>
  <c r="M37" i="13" l="1"/>
  <c r="P37" i="13" l="1"/>
  <c r="Y37" i="13" s="1"/>
  <c r="R37" i="13"/>
  <c r="AA37" i="13" s="1"/>
  <c r="T37" i="13"/>
  <c r="AC37" i="13" s="1"/>
  <c r="V37" i="13"/>
  <c r="AE37" i="13" s="1"/>
  <c r="L38" i="13" s="1"/>
  <c r="X37" i="13"/>
  <c r="AG37" i="13" s="1"/>
  <c r="Q37" i="13"/>
  <c r="Z37" i="13" s="1"/>
  <c r="S37" i="13"/>
  <c r="AB37" i="13" s="1"/>
  <c r="K38" i="13" s="1"/>
  <c r="U37" i="13"/>
  <c r="AD37" i="13" s="1"/>
  <c r="W37" i="13"/>
  <c r="AF37" i="13" s="1"/>
  <c r="N37" i="13"/>
  <c r="O37" i="13" s="1"/>
  <c r="M38" i="13" l="1"/>
  <c r="Q38" i="13" l="1"/>
  <c r="Z38" i="13" s="1"/>
  <c r="S38" i="13"/>
  <c r="AB38" i="13" s="1"/>
  <c r="U38" i="13"/>
  <c r="AD38" i="13" s="1"/>
  <c r="W38" i="13"/>
  <c r="AF38" i="13" s="1"/>
  <c r="P38" i="13"/>
  <c r="Y38" i="13" s="1"/>
  <c r="R38" i="13"/>
  <c r="AA38" i="13" s="1"/>
  <c r="K39" i="13" s="1"/>
  <c r="T38" i="13"/>
  <c r="AC38" i="13" s="1"/>
  <c r="L39" i="13" s="1"/>
  <c r="V38" i="13"/>
  <c r="AE38" i="13" s="1"/>
  <c r="X38" i="13"/>
  <c r="AG38" i="13" s="1"/>
  <c r="N38" i="13"/>
  <c r="O38" i="13" s="1"/>
  <c r="M39" i="13" l="1"/>
  <c r="P39" i="13" s="1"/>
  <c r="Y39" i="13" s="1"/>
  <c r="U39" i="13" l="1"/>
  <c r="AD39" i="13" s="1"/>
  <c r="V39" i="13"/>
  <c r="AE39" i="13" s="1"/>
  <c r="N39" i="13"/>
  <c r="O39" i="13" s="1"/>
  <c r="Q39" i="13"/>
  <c r="Z39" i="13" s="1"/>
  <c r="K40" i="13" s="1"/>
  <c r="R39" i="13"/>
  <c r="AA39" i="13" s="1"/>
  <c r="W39" i="13"/>
  <c r="AF39" i="13" s="1"/>
  <c r="L40" i="13" s="1"/>
  <c r="M40" i="13" s="1"/>
  <c r="S39" i="13"/>
  <c r="AB39" i="13" s="1"/>
  <c r="X39" i="13"/>
  <c r="AG39" i="13" s="1"/>
  <c r="T39" i="13"/>
  <c r="AC39" i="13" s="1"/>
  <c r="Q40" i="13" l="1"/>
  <c r="Z40" i="13" s="1"/>
  <c r="S40" i="13"/>
  <c r="AB40" i="13" s="1"/>
  <c r="T40" i="13"/>
  <c r="AC40" i="13" s="1"/>
  <c r="W40" i="13"/>
  <c r="AF40" i="13" s="1"/>
  <c r="R40" i="13"/>
  <c r="AA40" i="13" s="1"/>
  <c r="N40" i="13"/>
  <c r="O40" i="13" s="1"/>
  <c r="V40" i="13"/>
  <c r="AE40" i="13" s="1"/>
  <c r="X40" i="13"/>
  <c r="AG40" i="13" s="1"/>
  <c r="L41" i="13" s="1"/>
  <c r="P40" i="13"/>
  <c r="Y40" i="13" s="1"/>
  <c r="U40" i="13"/>
  <c r="AD40" i="13" s="1"/>
  <c r="K41" i="13" s="1"/>
  <c r="M41" i="13" s="1"/>
  <c r="P41" i="13" l="1"/>
  <c r="Y41" i="13" s="1"/>
  <c r="R41" i="13"/>
  <c r="AA41" i="13" s="1"/>
  <c r="K42" i="13" s="1"/>
  <c r="T41" i="13"/>
  <c r="AC41" i="13" s="1"/>
  <c r="V41" i="13"/>
  <c r="AE41" i="13" s="1"/>
  <c r="S41" i="13"/>
  <c r="AB41" i="13" s="1"/>
  <c r="W41" i="13"/>
  <c r="AF41" i="13" s="1"/>
  <c r="Q41" i="13"/>
  <c r="Z41" i="13" s="1"/>
  <c r="N41" i="13"/>
  <c r="O41" i="13" s="1"/>
  <c r="U41" i="13" l="1"/>
  <c r="AD41" i="13" s="1"/>
  <c r="X41" i="13"/>
  <c r="AG41" i="13" s="1"/>
  <c r="L42" i="13" s="1"/>
  <c r="M42" i="13" s="1"/>
  <c r="Q42" i="13" l="1"/>
  <c r="Z42" i="13" s="1"/>
  <c r="K43" i="13" s="1"/>
  <c r="W42" i="13"/>
  <c r="AF42" i="13" s="1"/>
  <c r="T42" i="13"/>
  <c r="AC42" i="13" s="1"/>
  <c r="N42" i="13"/>
  <c r="O42" i="13" s="1"/>
  <c r="S42" i="13"/>
  <c r="AB42" i="13" s="1"/>
  <c r="V42" i="13"/>
  <c r="AE42" i="13" s="1"/>
  <c r="X42" i="13"/>
  <c r="AG42" i="13" s="1"/>
  <c r="P42" i="13"/>
  <c r="Y42" i="13" s="1"/>
  <c r="R42" i="13"/>
  <c r="AA42" i="13" s="1"/>
  <c r="U42" i="13"/>
  <c r="AD42" i="13" s="1"/>
  <c r="L43" i="13" s="1"/>
  <c r="M43" i="13" l="1"/>
  <c r="P43" i="13" s="1"/>
  <c r="Y43" i="13" s="1"/>
  <c r="N43" i="13" l="1"/>
  <c r="O43" i="13" s="1"/>
  <c r="Q43" i="13"/>
  <c r="Z43" i="13" s="1"/>
  <c r="S43" i="13"/>
  <c r="AB43" i="13" s="1"/>
  <c r="K44" i="13" s="1"/>
  <c r="V43" i="13"/>
  <c r="AE43" i="13" s="1"/>
  <c r="R43" i="13"/>
  <c r="AA43" i="13" s="1"/>
  <c r="W43" i="13"/>
  <c r="AF43" i="13" s="1"/>
  <c r="L44" i="13" s="1"/>
  <c r="U43" i="13"/>
  <c r="AD43" i="13" s="1"/>
  <c r="X43" i="13"/>
  <c r="AG43" i="13" s="1"/>
  <c r="T43" i="13"/>
  <c r="AC43" i="13" s="1"/>
  <c r="M44" i="13" l="1"/>
  <c r="Q44" i="13" s="1"/>
  <c r="Z44" i="13" s="1"/>
  <c r="W44" i="13"/>
  <c r="AF44" i="13" s="1"/>
  <c r="T44" i="13"/>
  <c r="AC44" i="13" s="1"/>
  <c r="V44" i="13"/>
  <c r="AE44" i="13" s="1"/>
  <c r="P44" i="13"/>
  <c r="Y44" i="13" s="1"/>
  <c r="U44" i="13" l="1"/>
  <c r="AD44" i="13" s="1"/>
  <c r="X44" i="13"/>
  <c r="AG44" i="13" s="1"/>
  <c r="L45" i="13" s="1"/>
  <c r="S44" i="13"/>
  <c r="AB44" i="13" s="1"/>
  <c r="K45" i="13" s="1"/>
  <c r="N44" i="13"/>
  <c r="O44" i="13" s="1"/>
  <c r="R44" i="13"/>
  <c r="AA44" i="13" s="1"/>
  <c r="M45" i="13" l="1"/>
  <c r="P45" i="13" l="1"/>
  <c r="Y45" i="13" s="1"/>
  <c r="X45" i="13"/>
  <c r="AG45" i="13" s="1"/>
  <c r="L46" i="13" s="1"/>
  <c r="U45" i="13"/>
  <c r="AD45" i="13" s="1"/>
  <c r="V45" i="13"/>
  <c r="AE45" i="13" s="1"/>
  <c r="K46" i="13" s="1"/>
  <c r="M46" i="13" s="1"/>
  <c r="Q45" i="13"/>
  <c r="Z45" i="13" s="1"/>
  <c r="T45" i="13"/>
  <c r="AC45" i="13" s="1"/>
  <c r="W45" i="13"/>
  <c r="AF45" i="13" s="1"/>
  <c r="R45" i="13"/>
  <c r="AA45" i="13" s="1"/>
  <c r="S45" i="13"/>
  <c r="AB45" i="13" s="1"/>
  <c r="N45" i="13"/>
  <c r="O45" i="13" s="1"/>
  <c r="S46" i="13" l="1"/>
  <c r="AB46" i="13" s="1"/>
  <c r="X46" i="13"/>
  <c r="AG46" i="13" s="1"/>
  <c r="R46" i="13"/>
  <c r="AA46" i="13" s="1"/>
  <c r="K47" i="13" s="1"/>
  <c r="U46" i="13"/>
  <c r="AD46" i="13" s="1"/>
  <c r="T46" i="13"/>
  <c r="AC46" i="13" s="1"/>
  <c r="W46" i="13"/>
  <c r="AF46" i="13" s="1"/>
  <c r="L47" i="13" s="1"/>
  <c r="Q46" i="13"/>
  <c r="Z46" i="13" s="1"/>
  <c r="P46" i="13"/>
  <c r="Y46" i="13" s="1"/>
  <c r="N46" i="13"/>
  <c r="O46" i="13" s="1"/>
  <c r="Q62" i="13" s="1"/>
  <c r="V46" i="13"/>
  <c r="AE46" i="13" s="1"/>
  <c r="M47" i="13" l="1"/>
  <c r="R47" i="13" l="1"/>
  <c r="AA47" i="13" s="1"/>
  <c r="V47" i="13"/>
  <c r="AE47" i="13" s="1"/>
  <c r="Q47" i="13"/>
  <c r="Z47" i="13" s="1"/>
  <c r="S47" i="13"/>
  <c r="AB47" i="13" s="1"/>
  <c r="N47" i="13"/>
  <c r="O47" i="13" s="1"/>
  <c r="P47" i="13"/>
  <c r="Y47" i="13" s="1"/>
  <c r="T47" i="13"/>
  <c r="AC47" i="13" s="1"/>
  <c r="K48" i="13" s="1"/>
  <c r="M48" i="13" s="1"/>
  <c r="X47" i="13"/>
  <c r="AG47" i="13" s="1"/>
  <c r="U47" i="13"/>
  <c r="AD47" i="13" s="1"/>
  <c r="W47" i="13"/>
  <c r="AF47" i="13" s="1"/>
  <c r="L48" i="13" s="1"/>
  <c r="Q48" i="13" l="1"/>
  <c r="Z48" i="13" s="1"/>
  <c r="U48" i="13"/>
  <c r="AD48" i="13" s="1"/>
  <c r="P48" i="13"/>
  <c r="Y48" i="13" s="1"/>
  <c r="X48" i="13"/>
  <c r="AG48" i="13" s="1"/>
  <c r="V48" i="13"/>
  <c r="AE48" i="13" s="1"/>
  <c r="L49" i="13" s="1"/>
  <c r="S48" i="13"/>
  <c r="AB48" i="13" s="1"/>
  <c r="W48" i="13"/>
  <c r="AF48" i="13" s="1"/>
  <c r="T48" i="13"/>
  <c r="AC48" i="13" s="1"/>
  <c r="R48" i="13"/>
  <c r="AA48" i="13" s="1"/>
  <c r="K49" i="13" s="1"/>
  <c r="M49" i="13" s="1"/>
  <c r="P49" i="13" s="1"/>
  <c r="Y49" i="13" s="1"/>
  <c r="N48" i="13"/>
  <c r="O48" i="13" s="1"/>
  <c r="Q49" i="13"/>
  <c r="Z49" i="13" s="1"/>
  <c r="K50" i="13" s="1"/>
  <c r="N49" i="13"/>
  <c r="O49" i="13" s="1"/>
  <c r="R49" i="13"/>
  <c r="AA49" i="13" s="1"/>
  <c r="W49" i="13"/>
  <c r="AF49" i="13" s="1"/>
  <c r="T49" i="13"/>
  <c r="AC49" i="13" s="1"/>
  <c r="L50" i="13" s="1"/>
  <c r="M50" i="13" s="1"/>
  <c r="X49" i="13" l="1"/>
  <c r="AG49" i="13" s="1"/>
  <c r="U49" i="13"/>
  <c r="AD49" i="13" s="1"/>
  <c r="S49" i="13"/>
  <c r="AB49" i="13" s="1"/>
  <c r="V49" i="13"/>
  <c r="AE49" i="13" s="1"/>
  <c r="Q50" i="13"/>
  <c r="Z50" i="13" s="1"/>
  <c r="U50" i="13"/>
  <c r="AD50" i="13" s="1"/>
  <c r="R50" i="13"/>
  <c r="AA50" i="13" s="1"/>
  <c r="P50" i="13"/>
  <c r="Y50" i="13" s="1"/>
  <c r="X50" i="13"/>
  <c r="AG50" i="13" s="1"/>
  <c r="L51" i="13" s="1"/>
  <c r="W50" i="13"/>
  <c r="AF50" i="13" s="1"/>
  <c r="V50" i="13"/>
  <c r="AE50" i="13" s="1"/>
  <c r="T50" i="13"/>
  <c r="AC50" i="13" s="1"/>
  <c r="K51" i="13" s="1"/>
  <c r="M51" i="13" s="1"/>
  <c r="R51" i="13" s="1"/>
  <c r="AA51" i="13" s="1"/>
  <c r="N50" i="13"/>
  <c r="O50" i="13" s="1"/>
  <c r="S50" i="13" l="1"/>
  <c r="AB50" i="13" s="1"/>
  <c r="W51" i="13"/>
  <c r="AF51" i="13" s="1"/>
  <c r="X51" i="13"/>
  <c r="AG51" i="13" s="1"/>
  <c r="P51" i="13"/>
  <c r="Y51" i="13" s="1"/>
  <c r="U51" i="13"/>
  <c r="AD51" i="13" s="1"/>
  <c r="T51" i="13"/>
  <c r="AC51" i="13" s="1"/>
  <c r="N51" i="13"/>
  <c r="O51" i="13" s="1"/>
  <c r="Q51" i="13"/>
  <c r="Z51" i="13" s="1"/>
  <c r="K52" i="13" s="1"/>
  <c r="V51" i="13"/>
  <c r="AE51" i="13" s="1"/>
  <c r="L52" i="13" s="1"/>
  <c r="S51" i="13" l="1"/>
  <c r="AB51" i="13" s="1"/>
  <c r="M52" i="13"/>
  <c r="S52" i="13" l="1"/>
  <c r="S56" i="13" s="1"/>
  <c r="T52" i="13"/>
  <c r="T56" i="13" s="1"/>
  <c r="N52" i="13"/>
  <c r="O52" i="13" s="1"/>
  <c r="X52" i="13"/>
  <c r="W52" i="13"/>
  <c r="W56" i="13" s="1"/>
  <c r="R52" i="13"/>
  <c r="R56" i="13" s="1"/>
  <c r="AB52" i="13"/>
  <c r="AB54" i="13" s="1"/>
  <c r="Q52" i="13"/>
  <c r="Q56" i="13" s="1"/>
  <c r="Q60" i="13"/>
  <c r="Q61" i="13"/>
  <c r="Z52" i="13"/>
  <c r="Z54" i="13" s="1"/>
  <c r="U52" i="13"/>
  <c r="P52" i="13"/>
  <c r="V52" i="13"/>
  <c r="AG52" i="13"/>
  <c r="AG54" i="13" s="1"/>
  <c r="X56" i="13"/>
  <c r="AC52" i="13"/>
  <c r="AC54" i="13" s="1"/>
  <c r="AA52" i="13"/>
  <c r="AA54" i="13" s="1"/>
  <c r="Q63" i="13" l="1"/>
  <c r="X60" i="13" s="1"/>
  <c r="AF52" i="13"/>
  <c r="AF54" i="13" s="1"/>
  <c r="V56" i="13"/>
  <c r="P62" i="13" s="1"/>
  <c r="S62" i="13" s="1"/>
  <c r="AE52" i="13"/>
  <c r="AE54" i="13" s="1"/>
  <c r="R62" i="13" s="1"/>
  <c r="U56" i="13"/>
  <c r="P61" i="13" s="1"/>
  <c r="AD52" i="13"/>
  <c r="AD54" i="13" s="1"/>
  <c r="R61" i="13" s="1"/>
  <c r="P56" i="13"/>
  <c r="P60" i="13" s="1"/>
  <c r="P63" i="13" s="1"/>
  <c r="Y52" i="13"/>
  <c r="Y54" i="13" s="1"/>
  <c r="R60" i="13" s="1"/>
  <c r="R63" i="13" s="1"/>
  <c r="S60" i="13" l="1"/>
  <c r="S61" i="13"/>
  <c r="S63" i="13" l="1"/>
  <c r="W60" i="13" s="1"/>
</calcChain>
</file>

<file path=xl/sharedStrings.xml><?xml version="1.0" encoding="utf-8"?>
<sst xmlns="http://schemas.openxmlformats.org/spreadsheetml/2006/main" count="177" uniqueCount="90">
  <si>
    <t>Units</t>
  </si>
  <si>
    <t>End Sheet</t>
  </si>
  <si>
    <t>Workings</t>
  </si>
  <si>
    <t>[$]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</si>
  <si>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</si>
  <si>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</si>
  <si>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</si>
  <si>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</si>
  <si>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</si>
  <si>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</si>
  <si>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</si>
  <si>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</si>
  <si>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</si>
  <si>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</si>
  <si>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</si>
  <si>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</si>
  <si>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</si>
  <si>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</si>
  <si>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</si>
  <si>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</si>
  <si>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</si>
  <si>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</si>
  <si>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</si>
  <si>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Assumptions</t>
  </si>
  <si>
    <t>Cell to be populated by model author</t>
  </si>
  <si>
    <t>ModelOff 2017 - Round 2 - Section 3</t>
  </si>
  <si>
    <t>Depot A</t>
  </si>
  <si>
    <t>Depot B</t>
  </si>
  <si>
    <t>Depot C</t>
  </si>
  <si>
    <t>Depot D</t>
  </si>
  <si>
    <t>Depot E</t>
  </si>
  <si>
    <t>Depot F</t>
  </si>
  <si>
    <t>Depot G</t>
  </si>
  <si>
    <t>Depot H</t>
  </si>
  <si>
    <t>Depot I</t>
  </si>
  <si>
    <t>[# vehicles]</t>
  </si>
  <si>
    <t>Vehicle location and depot capacity</t>
  </si>
  <si>
    <t>Depot capacity</t>
  </si>
  <si>
    <t>Total capacity of each depot</t>
  </si>
  <si>
    <t>Depot distances</t>
  </si>
  <si>
    <t>[miles]</t>
  </si>
  <si>
    <t>Driving distance between each pair of depots (one way, in miles)</t>
  </si>
  <si>
    <t>Other asssumptions</t>
  </si>
  <si>
    <t>Other revenue and cost assumptions</t>
  </si>
  <si>
    <t>Penalty for unserviced vehicle</t>
  </si>
  <si>
    <t>[$ per mile]</t>
  </si>
  <si>
    <t>Transport costs</t>
  </si>
  <si>
    <t>Hub 1</t>
  </si>
  <si>
    <t>Hub 2</t>
  </si>
  <si>
    <t>Hub 3</t>
  </si>
  <si>
    <t>[$ per vehicle]</t>
  </si>
  <si>
    <t>Scenario 1a - vehicles for service</t>
  </si>
  <si>
    <t>Scenario 1a - hub allocation</t>
  </si>
  <si>
    <t>Vehicles for service and hub groupings</t>
  </si>
  <si>
    <t>Scenario 1b - vehicles for service</t>
  </si>
  <si>
    <t>Scenario 1b - hub allocation</t>
  </si>
  <si>
    <t>Scenario 2a - vehicles for service</t>
  </si>
  <si>
    <t>Scenario 2a - hub allocation</t>
  </si>
  <si>
    <t>Scenario 2b - vehicles for service</t>
  </si>
  <si>
    <t>Scenario 2b - hub allocation</t>
  </si>
  <si>
    <t>[hub]</t>
  </si>
  <si>
    <t>Calculations</t>
  </si>
  <si>
    <t>Revenue per vehicle</t>
  </si>
  <si>
    <t>Never use distance</t>
  </si>
  <si>
    <t>Depot 1</t>
  </si>
  <si>
    <t>Depot 2</t>
  </si>
  <si>
    <t>Distance</t>
  </si>
  <si>
    <t>Scenario 1a</t>
  </si>
  <si>
    <t>Same?</t>
  </si>
  <si>
    <t>First hub</t>
  </si>
  <si>
    <t>Second hub</t>
  </si>
  <si>
    <t>Scenario 1b</t>
  </si>
  <si>
    <t>Capacity before reallocation</t>
  </si>
  <si>
    <t>Over capacity?</t>
  </si>
  <si>
    <t>Use?</t>
  </si>
  <si>
    <t>Usable?</t>
  </si>
  <si>
    <t>Capacity 1</t>
  </si>
  <si>
    <t>Capacity 2</t>
  </si>
  <si>
    <t># to move</t>
  </si>
  <si>
    <t>Cost</t>
  </si>
  <si>
    <t>Penalty cost</t>
  </si>
  <si>
    <t>Fees</t>
  </si>
  <si>
    <t>Transpo</t>
  </si>
  <si>
    <t>Penalty</t>
  </si>
  <si>
    <t>Profit</t>
  </si>
  <si>
    <t>Total</t>
  </si>
  <si>
    <t>Scenario 2a</t>
  </si>
  <si>
    <t>Scenario 2b</t>
  </si>
  <si>
    <t>1b less 1a</t>
  </si>
  <si>
    <t>2b less 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</si>
</sst>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;\-#,##0.;\-"/>
    <numFmt numFmtId="165" formatCode="#,##0_);\(#,##0\);\-"/>
    <numFmt numFmtId="166" formatCode="d\-mmm\-yy;d\-mmm\-yy;\-"/>
    <numFmt numFmtId="167" formatCode="0.00%_);\(0.00%\);\-"/>
    <numFmt numFmtId="168" formatCode="#,##0.00_);\(#,##0.00\);\-"/>
    <numFmt numFmtId="169" formatCode="_(* #,##0_);_(* \(#,##0\);_(* &quot;-&quot;_);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sz val="9"/>
      <color theme="1"/>
      <name val="Calibri"/>
      <family val="2"/>
      <scheme val="minor"/>
    </font>
    <font>
      <b/>
      <sz val="10"/>
      <name val="Arial"/>
      <family val="2"/>
    </font>
    <font>
      <b/>
      <u val="singleAccounting"/>
      <sz val="10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457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63">
    <xf numFmtId="0" fontId="0" fillId="0" borderId="0"/>
    <xf numFmtId="0" fontId="4" fillId="36" borderId="0" applyNumberFormat="0" applyAlignment="0"/>
    <xf numFmtId="165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5" fontId="9" fillId="0" borderId="0" applyBorder="0"/>
    <xf numFmtId="166" fontId="3" fillId="0" borderId="0" applyBorder="0"/>
    <xf numFmtId="4" fontId="9" fillId="2" borderId="1">
      <alignment horizontal="left"/>
    </xf>
    <xf numFmtId="167" fontId="7" fillId="4" borderId="11">
      <protection locked="0"/>
    </xf>
    <xf numFmtId="165" fontId="7" fillId="4" borderId="11">
      <protection locked="0"/>
    </xf>
    <xf numFmtId="165" fontId="7" fillId="0" borderId="12"/>
    <xf numFmtId="167" fontId="11" fillId="0" borderId="0" applyFill="0" applyBorder="0" applyAlignment="0"/>
    <xf numFmtId="0" fontId="10" fillId="0" borderId="0" applyNumberFormat="0" applyFill="0" applyBorder="0" applyAlignment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68" fontId="3" fillId="0" borderId="0" applyBorder="0"/>
    <xf numFmtId="168" fontId="7" fillId="4" borderId="11">
      <protection locked="0"/>
    </xf>
    <xf numFmtId="166" fontId="7" fillId="4" borderId="11"/>
    <xf numFmtId="169" fontId="30" fillId="0" borderId="0"/>
  </cellStyleXfs>
  <cellXfs count="47">
    <xf numFmtId="0" fontId="0" fillId="0" borderId="0" xfId="0"/>
    <xf numFmtId="168" fontId="4" fillId="36" borderId="0" xfId="1" applyNumberFormat="1"/>
    <xf numFmtId="0" fontId="3" fillId="0" borderId="0" xfId="0" applyFont="1"/>
    <xf numFmtId="0" fontId="5" fillId="0" borderId="0" xfId="0" applyFont="1"/>
    <xf numFmtId="165" fontId="3" fillId="0" borderId="0" xfId="2"/>
    <xf numFmtId="165" fontId="7" fillId="0" borderId="0" xfId="3" applyNumberFormat="1">
      <alignment horizontal="right"/>
    </xf>
    <xf numFmtId="165" fontId="0" fillId="0" borderId="0" xfId="0" applyNumberFormat="1"/>
    <xf numFmtId="165" fontId="9" fillId="0" borderId="0" xfId="5"/>
    <xf numFmtId="166" fontId="3" fillId="0" borderId="0" xfId="6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67" fontId="7" fillId="4" borderId="11" xfId="8">
      <protection locked="0"/>
    </xf>
    <xf numFmtId="0" fontId="3" fillId="0" borderId="0" xfId="6" applyNumberFormat="1"/>
    <xf numFmtId="165" fontId="7" fillId="0" borderId="12" xfId="10"/>
    <xf numFmtId="167" fontId="11" fillId="0" borderId="0" xfId="11"/>
    <xf numFmtId="165" fontId="12" fillId="0" borderId="0" xfId="2" applyFont="1"/>
    <xf numFmtId="165" fontId="10" fillId="0" borderId="0" xfId="12" applyNumberFormat="1"/>
    <xf numFmtId="165" fontId="7" fillId="4" borderId="11" xfId="9">
      <protection locked="0"/>
    </xf>
    <xf numFmtId="168" fontId="3" fillId="0" borderId="0" xfId="59"/>
    <xf numFmtId="168" fontId="3" fillId="0" borderId="0" xfId="59" applyBorder="1"/>
    <xf numFmtId="168" fontId="3" fillId="3" borderId="0" xfId="59" applyFill="1"/>
    <xf numFmtId="168" fontId="3" fillId="0" borderId="0" xfId="59" quotePrefix="1"/>
    <xf numFmtId="168" fontId="7" fillId="0" borderId="0" xfId="3" applyNumberFormat="1">
      <alignment horizontal="right"/>
    </xf>
    <xf numFmtId="168" fontId="7" fillId="4" borderId="11" xfId="60">
      <protection locked="0"/>
    </xf>
    <xf numFmtId="166" fontId="7" fillId="4" borderId="11" xfId="61"/>
    <xf numFmtId="165" fontId="9" fillId="0" borderId="0" xfId="2" applyFont="1"/>
    <xf numFmtId="165" fontId="11" fillId="0" borderId="0" xfId="3" applyNumberFormat="1" applyFont="1">
      <alignment horizontal="right"/>
    </xf>
    <xf numFmtId="165" fontId="31" fillId="0" borderId="0" xfId="3" applyNumberFormat="1" applyFont="1">
      <alignment horizontal="right"/>
    </xf>
    <xf numFmtId="165" fontId="3" fillId="0" borderId="0" xfId="2" applyFont="1"/>
    <xf numFmtId="168" fontId="7" fillId="4" borderId="11" xfId="9" applyNumberFormat="1">
      <protection locked="0"/>
    </xf>
    <xf numFmtId="165" fontId="3" fillId="0" borderId="0" xfId="2" applyAlignment="1">
      <alignment horizontal="right"/>
    </xf>
    <xf numFmtId="165" fontId="3" fillId="37" borderId="0" xfId="2" applyFill="1" applyAlignment="1">
      <alignment horizontal="right"/>
    </xf>
    <xf numFmtId="0" fontId="2" fillId="38" borderId="0" xfId="1" applyFont="1" applyFill="1" applyAlignment="1"/>
    <xf numFmtId="0" fontId="4" fillId="38" borderId="0" xfId="1" applyFill="1"/>
    <xf numFmtId="0" fontId="4" fillId="38" borderId="0" xfId="1" applyFont="1" applyFill="1"/>
    <xf numFmtId="164" fontId="6" fillId="38" borderId="0" xfId="1" applyNumberFormat="1" applyFont="1" applyFill="1" applyAlignment="1">
      <alignment horizontal="left"/>
    </xf>
    <xf numFmtId="0" fontId="6" fillId="38" borderId="0" xfId="1" applyFont="1" applyFill="1"/>
    <xf numFmtId="165" fontId="11" fillId="0" borderId="0" xfId="2" applyFont="1"/>
    <xf numFmtId="0" fontId="11" fillId="0" borderId="0" xfId="0" applyFont="1"/>
    <xf numFmtId="0" fontId="11" fillId="0" borderId="0" xfId="3" applyFont="1">
      <alignment horizontal="right"/>
    </xf>
    <xf numFmtId="168" fontId="11" fillId="0" borderId="0" xfId="3" applyNumberFormat="1" applyFont="1">
      <alignment horizontal="right"/>
    </xf>
    <xf numFmtId="165" fontId="11" fillId="0" borderId="0" xfId="0" applyNumberFormat="1" applyFont="1"/>
    <xf numFmtId="165" fontId="32" fillId="0" borderId="0" xfId="2" applyFont="1" applyAlignment="1">
      <alignment horizontal="centerContinuous"/>
    </xf>
    <xf numFmtId="0" fontId="32" fillId="0" borderId="0" xfId="0" applyFont="1" applyAlignment="1">
      <alignment horizontal="centerContinuous"/>
    </xf>
    <xf numFmtId="0" fontId="32" fillId="0" borderId="0" xfId="0" applyFont="1" applyAlignment="1">
      <alignment horizontal="center"/>
    </xf>
  </cellXfs>
  <cellStyles count="63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rmal 2" xfId="62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696722</xdr:colOff>
      <xdr:row>2</xdr:row>
      <xdr:rowOff>164354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4879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14943</xdr:colOff>
      <xdr:row>0</xdr:row>
      <xdr:rowOff>0</xdr:rowOff>
    </xdr:from>
    <xdr:to>
      <xdr:col>8</xdr:col>
      <xdr:colOff>696722</xdr:colOff>
      <xdr:row>2</xdr:row>
      <xdr:rowOff>164354</xdr:rowOff>
    </xdr:to>
    <xdr:pic>
      <xdr:nvPicPr>
        <xdr:cNvPr id="7" name="Picture 6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4879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696722</xdr:colOff>
      <xdr:row>2</xdr:row>
      <xdr:rowOff>164354</xdr:rowOff>
    </xdr:to>
    <xdr:pic>
      <xdr:nvPicPr>
        <xdr:cNvPr id="7" name="Picture 6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4879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14943</xdr:colOff>
      <xdr:row>0</xdr:row>
      <xdr:rowOff>0</xdr:rowOff>
    </xdr:from>
    <xdr:to>
      <xdr:col>8</xdr:col>
      <xdr:colOff>696722</xdr:colOff>
      <xdr:row>2</xdr:row>
      <xdr:rowOff>164354</xdr:rowOff>
    </xdr:to>
    <xdr:pic>
      <xdr:nvPicPr>
        <xdr:cNvPr id="8" name="Picture 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4879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6</xdr:col>
      <xdr:colOff>79743</xdr:colOff>
      <xdr:row>2</xdr:row>
      <xdr:rowOff>164354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4879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246529</xdr:colOff>
      <xdr:row>0</xdr:row>
      <xdr:rowOff>0</xdr:rowOff>
    </xdr:from>
    <xdr:to>
      <xdr:col>10</xdr:col>
      <xdr:colOff>191802</xdr:colOff>
      <xdr:row>2</xdr:row>
      <xdr:rowOff>164354</xdr:rowOff>
    </xdr:to>
    <xdr:pic>
      <xdr:nvPicPr>
        <xdr:cNvPr id="3" name="Picture 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560794" y="0"/>
          <a:ext cx="2500214" cy="67982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activeCell="J93" sqref="J93"/>
      <selection pane="bottomLeft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1" customWidth="1"/>
    <col min="4" max="4" width="40.7109375" style="11" customWidth="1"/>
    <col min="5" max="6" width="12.7109375" style="2" customWidth="1"/>
    <col min="7" max="7" width="3.7109375" style="2" customWidth="1"/>
    <col min="8" max="8" width="10.7109375" style="12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34" t="s">
        <v>25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s="3" customFormat="1" ht="18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8" customHeight="1" x14ac:dyDescent="0.25">
      <c r="A3" s="37"/>
      <c r="B3" s="35"/>
      <c r="C3" s="38" t="s">
        <v>4</v>
      </c>
      <c r="D3" s="35"/>
      <c r="E3" s="35"/>
      <c r="F3" s="35"/>
      <c r="G3" s="35"/>
      <c r="H3" s="35"/>
      <c r="I3" s="35"/>
      <c r="J3" s="35"/>
    </row>
    <row r="4" spans="1:10" s="4" customFormat="1" ht="12" customHeight="1" x14ac:dyDescent="0.2">
      <c r="F4" s="17"/>
      <c r="H4" s="5"/>
      <c r="I4" s="17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7"/>
      <c r="H10" s="5"/>
    </row>
    <row r="11" spans="1:10" ht="12" customHeight="1" x14ac:dyDescent="0.2">
      <c r="A11" s="9"/>
      <c r="B11" s="9"/>
      <c r="C11" s="9" t="s">
        <v>5</v>
      </c>
      <c r="D11" s="9"/>
      <c r="E11" s="9"/>
      <c r="F11" s="9"/>
      <c r="G11" s="9"/>
      <c r="H11" s="9"/>
      <c r="I11" s="9"/>
      <c r="J11" s="9"/>
    </row>
    <row r="12" spans="1:10" s="10" customFormat="1" ht="12" customHeight="1" x14ac:dyDescent="0.2">
      <c r="A12" s="21"/>
      <c r="B12" s="21"/>
      <c r="C12" s="21"/>
      <c r="D12" s="21"/>
      <c r="E12" s="21"/>
      <c r="F12" s="21"/>
      <c r="G12" s="21"/>
      <c r="H12" s="21"/>
      <c r="I12" s="21"/>
      <c r="J12" s="21"/>
    </row>
    <row r="13" spans="1:10" ht="12" customHeight="1" x14ac:dyDescent="0.2">
      <c r="A13" s="20"/>
      <c r="B13" s="20"/>
      <c r="C13" s="7"/>
      <c r="D13" s="20"/>
      <c r="E13" s="23"/>
      <c r="F13" s="20"/>
      <c r="G13" s="20"/>
      <c r="H13" s="20"/>
      <c r="I13" s="20"/>
      <c r="J13" s="20"/>
    </row>
    <row r="14" spans="1:10" ht="12" customHeight="1" x14ac:dyDescent="0.2">
      <c r="A14" s="20"/>
      <c r="B14" s="20"/>
      <c r="C14" s="20"/>
      <c r="D14" s="20" t="s">
        <v>6</v>
      </c>
      <c r="E14" s="23"/>
      <c r="F14" s="20"/>
      <c r="G14" s="20"/>
      <c r="H14" s="24"/>
      <c r="I14" s="19">
        <v>1000</v>
      </c>
      <c r="J14" s="20"/>
    </row>
    <row r="15" spans="1:10" ht="12" customHeight="1" x14ac:dyDescent="0.2">
      <c r="A15" s="20"/>
      <c r="B15" s="20"/>
      <c r="C15" s="20"/>
      <c r="D15" s="20"/>
      <c r="E15" s="23"/>
      <c r="F15" s="20"/>
      <c r="G15" s="20"/>
      <c r="H15" s="24"/>
      <c r="I15" s="20"/>
      <c r="J15" s="20"/>
    </row>
    <row r="16" spans="1:10" ht="12" customHeight="1" x14ac:dyDescent="0.2">
      <c r="A16" s="20"/>
      <c r="B16" s="20"/>
      <c r="C16" s="20"/>
      <c r="D16" s="20" t="s">
        <v>7</v>
      </c>
      <c r="E16" s="23"/>
      <c r="F16" s="20"/>
      <c r="G16" s="20"/>
      <c r="H16" s="24"/>
      <c r="I16" s="25">
        <v>1000</v>
      </c>
      <c r="J16" s="20"/>
    </row>
    <row r="17" spans="1:10" ht="12" customHeight="1" x14ac:dyDescent="0.2">
      <c r="A17" s="20"/>
      <c r="B17" s="20"/>
      <c r="C17" s="20"/>
      <c r="D17" s="20"/>
      <c r="E17" s="23"/>
      <c r="F17" s="20"/>
      <c r="G17" s="20"/>
      <c r="H17" s="20"/>
      <c r="I17" s="20"/>
      <c r="J17" s="20"/>
    </row>
    <row r="18" spans="1:10" ht="12" customHeight="1" x14ac:dyDescent="0.2">
      <c r="A18" s="20"/>
      <c r="B18" s="20"/>
      <c r="C18" s="20"/>
      <c r="D18" s="20" t="s">
        <v>8</v>
      </c>
      <c r="E18" s="23"/>
      <c r="F18" s="20"/>
      <c r="G18" s="20"/>
      <c r="H18" s="20"/>
      <c r="I18" s="13">
        <v>0.5</v>
      </c>
      <c r="J18" s="20"/>
    </row>
    <row r="19" spans="1:10" ht="12" customHeight="1" x14ac:dyDescent="0.2">
      <c r="A19" s="20"/>
      <c r="B19" s="20"/>
      <c r="C19" s="20"/>
      <c r="D19" s="20"/>
      <c r="E19" s="23"/>
      <c r="F19" s="20"/>
      <c r="G19" s="20"/>
      <c r="H19" s="20"/>
      <c r="I19" s="20"/>
      <c r="J19" s="20"/>
    </row>
    <row r="20" spans="1:10" ht="12" customHeight="1" x14ac:dyDescent="0.2">
      <c r="A20" s="20"/>
      <c r="B20" s="20"/>
      <c r="C20" s="20"/>
      <c r="D20" s="20" t="s">
        <v>9</v>
      </c>
      <c r="E20" s="23"/>
      <c r="F20" s="20"/>
      <c r="G20" s="20"/>
      <c r="H20" s="20"/>
      <c r="I20" s="26">
        <v>42369</v>
      </c>
      <c r="J20" s="20"/>
    </row>
    <row r="21" spans="1:10" ht="12" customHeight="1" x14ac:dyDescent="0.2">
      <c r="A21" s="20"/>
      <c r="B21" s="20"/>
      <c r="C21" s="20"/>
      <c r="D21" s="20"/>
      <c r="E21" s="23"/>
      <c r="F21" s="20"/>
      <c r="G21" s="20"/>
      <c r="H21" s="20"/>
      <c r="I21" s="20"/>
      <c r="J21" s="20"/>
    </row>
    <row r="22" spans="1:10" ht="12" customHeight="1" x14ac:dyDescent="0.2">
      <c r="A22" s="20"/>
      <c r="B22" s="20"/>
      <c r="C22" s="20"/>
      <c r="D22" s="20" t="s">
        <v>10</v>
      </c>
      <c r="E22" s="23"/>
      <c r="F22" s="20"/>
      <c r="G22" s="20"/>
      <c r="H22" s="20"/>
      <c r="I22" s="4">
        <v>1000</v>
      </c>
      <c r="J22" s="20"/>
    </row>
    <row r="23" spans="1:10" ht="12" customHeight="1" x14ac:dyDescent="0.2">
      <c r="A23" s="20"/>
      <c r="B23" s="20"/>
      <c r="C23" s="20"/>
      <c r="D23" s="20"/>
      <c r="E23" s="23"/>
      <c r="F23" s="20"/>
      <c r="G23" s="20"/>
      <c r="H23" s="20"/>
      <c r="I23" s="20"/>
      <c r="J23" s="20"/>
    </row>
    <row r="24" spans="1:10" ht="12" customHeight="1" x14ac:dyDescent="0.2">
      <c r="A24" s="20"/>
      <c r="B24" s="20"/>
      <c r="C24" s="20"/>
      <c r="D24" s="20" t="s">
        <v>22</v>
      </c>
      <c r="E24" s="23"/>
      <c r="F24" s="20"/>
      <c r="G24" s="20"/>
      <c r="H24" s="20"/>
      <c r="I24" s="4">
        <v>-1000</v>
      </c>
      <c r="J24" s="20"/>
    </row>
    <row r="25" spans="1:10" ht="12" customHeight="1" x14ac:dyDescent="0.2">
      <c r="A25" s="20"/>
      <c r="B25" s="20"/>
      <c r="C25" s="20"/>
      <c r="D25" s="20"/>
      <c r="E25" s="23"/>
      <c r="F25" s="20"/>
      <c r="G25" s="20"/>
      <c r="H25" s="20"/>
      <c r="I25" s="20"/>
      <c r="J25" s="20"/>
    </row>
    <row r="26" spans="1:10" ht="12" customHeight="1" x14ac:dyDescent="0.2">
      <c r="A26" s="20"/>
      <c r="B26" s="20"/>
      <c r="C26" s="20"/>
      <c r="D26" s="20" t="s">
        <v>11</v>
      </c>
      <c r="E26" s="23"/>
      <c r="F26" s="20"/>
      <c r="G26" s="20"/>
      <c r="H26" s="20"/>
      <c r="I26" s="20">
        <v>1000</v>
      </c>
      <c r="J26" s="20"/>
    </row>
    <row r="27" spans="1:10" ht="12" customHeight="1" x14ac:dyDescent="0.2">
      <c r="A27" s="20"/>
      <c r="B27" s="20"/>
      <c r="C27" s="20"/>
      <c r="D27" s="20"/>
      <c r="E27" s="23"/>
      <c r="F27" s="20"/>
      <c r="G27" s="20"/>
      <c r="H27" s="20"/>
      <c r="I27" s="20"/>
      <c r="J27" s="20"/>
    </row>
    <row r="28" spans="1:10" ht="12" customHeight="1" x14ac:dyDescent="0.2">
      <c r="A28" s="20"/>
      <c r="B28" s="20"/>
      <c r="C28" s="20"/>
      <c r="D28" s="20" t="s">
        <v>12</v>
      </c>
      <c r="E28" s="23"/>
      <c r="F28" s="20"/>
      <c r="G28" s="20"/>
      <c r="H28" s="20"/>
      <c r="I28" s="16">
        <v>0.5</v>
      </c>
      <c r="J28" s="20"/>
    </row>
    <row r="29" spans="1:10" ht="12" customHeight="1" x14ac:dyDescent="0.2">
      <c r="A29" s="20"/>
      <c r="B29" s="20"/>
      <c r="C29" s="20"/>
      <c r="D29" s="20"/>
      <c r="E29" s="23"/>
      <c r="F29" s="20"/>
      <c r="G29" s="20"/>
      <c r="H29" s="20"/>
      <c r="I29" s="20"/>
      <c r="J29" s="20"/>
    </row>
    <row r="30" spans="1:10" ht="12" customHeight="1" x14ac:dyDescent="0.2">
      <c r="A30" s="20"/>
      <c r="B30" s="20"/>
      <c r="C30" s="20"/>
      <c r="D30" s="20" t="s">
        <v>24</v>
      </c>
      <c r="E30" s="23"/>
      <c r="F30" s="20"/>
      <c r="G30" s="20"/>
      <c r="H30" s="20"/>
      <c r="I30" s="22">
        <v>0</v>
      </c>
      <c r="J30" s="20"/>
    </row>
    <row r="31" spans="1:10" ht="12" customHeight="1" x14ac:dyDescent="0.2">
      <c r="A31" s="20"/>
      <c r="B31" s="20"/>
      <c r="C31" s="20"/>
      <c r="D31" s="20"/>
      <c r="E31" s="23"/>
      <c r="F31" s="20"/>
      <c r="G31" s="20"/>
      <c r="H31" s="20"/>
      <c r="I31" s="20"/>
      <c r="J31" s="20"/>
    </row>
    <row r="32" spans="1:10" ht="12" customHeight="1" x14ac:dyDescent="0.2">
      <c r="A32" s="20"/>
      <c r="B32" s="20"/>
      <c r="C32" s="20"/>
      <c r="D32" s="20" t="s">
        <v>13</v>
      </c>
      <c r="E32" s="23"/>
      <c r="F32" s="20"/>
      <c r="G32" s="20"/>
      <c r="H32" s="20"/>
      <c r="I32" s="8">
        <v>42369</v>
      </c>
      <c r="J32" s="20"/>
    </row>
    <row r="33" spans="1:10" ht="12" customHeight="1" x14ac:dyDescent="0.2">
      <c r="A33" s="20"/>
      <c r="B33" s="20"/>
      <c r="C33" s="20"/>
      <c r="D33" s="20"/>
      <c r="E33" s="23"/>
      <c r="F33" s="20"/>
      <c r="G33" s="20"/>
      <c r="H33" s="20"/>
      <c r="I33" s="20"/>
      <c r="J33" s="20"/>
    </row>
    <row r="34" spans="1:10" ht="12" customHeight="1" x14ac:dyDescent="0.2">
      <c r="A34" s="20"/>
      <c r="B34" s="20"/>
      <c r="C34" s="20"/>
      <c r="D34" s="20" t="s">
        <v>20</v>
      </c>
      <c r="E34" s="23"/>
      <c r="F34" s="20"/>
      <c r="G34" s="20"/>
      <c r="H34" s="20"/>
      <c r="I34" s="17" t="s">
        <v>21</v>
      </c>
      <c r="J34" s="20"/>
    </row>
    <row r="35" spans="1:10" ht="12" customHeight="1" x14ac:dyDescent="0.2">
      <c r="A35" s="20"/>
      <c r="B35" s="20"/>
      <c r="C35" s="20"/>
      <c r="D35" s="20"/>
      <c r="E35" s="23"/>
      <c r="F35" s="20"/>
      <c r="G35" s="20"/>
      <c r="H35" s="20"/>
      <c r="I35" s="20"/>
      <c r="J35" s="20"/>
    </row>
    <row r="36" spans="1:10" ht="12" customHeight="1" x14ac:dyDescent="0.2">
      <c r="A36" s="20"/>
      <c r="B36" s="20"/>
      <c r="C36" s="20"/>
      <c r="D36" s="20" t="s">
        <v>14</v>
      </c>
      <c r="E36" s="23"/>
      <c r="F36" s="20"/>
      <c r="G36" s="20"/>
      <c r="H36" s="20"/>
      <c r="I36" s="24" t="s">
        <v>3</v>
      </c>
      <c r="J36" s="20"/>
    </row>
    <row r="37" spans="1:10" ht="12" customHeight="1" x14ac:dyDescent="0.2">
      <c r="A37" s="20"/>
      <c r="B37" s="20"/>
      <c r="C37" s="20"/>
      <c r="D37" s="20"/>
      <c r="E37" s="23"/>
      <c r="F37" s="20"/>
      <c r="G37" s="20"/>
      <c r="H37" s="20"/>
      <c r="I37" s="20"/>
      <c r="J37" s="20"/>
    </row>
    <row r="38" spans="1:10" ht="12" customHeight="1" x14ac:dyDescent="0.2">
      <c r="A38" s="20"/>
      <c r="B38" s="20"/>
      <c r="C38" s="20"/>
      <c r="D38" s="20" t="s">
        <v>15</v>
      </c>
      <c r="E38" s="23"/>
      <c r="F38" s="20"/>
      <c r="G38" s="20"/>
      <c r="H38" s="20"/>
      <c r="I38" s="15">
        <v>1000</v>
      </c>
      <c r="J38" s="20"/>
    </row>
    <row r="39" spans="1:10" ht="12" customHeight="1" x14ac:dyDescent="0.2">
      <c r="A39" s="20"/>
      <c r="B39" s="20"/>
      <c r="C39" s="20"/>
      <c r="D39" s="20"/>
      <c r="E39" s="23"/>
      <c r="F39" s="20"/>
      <c r="G39" s="20"/>
      <c r="H39" s="20"/>
      <c r="I39" s="20"/>
      <c r="J39" s="20"/>
    </row>
    <row r="40" spans="1:10" ht="12" customHeight="1" x14ac:dyDescent="0.2">
      <c r="A40" s="20"/>
      <c r="B40" s="20"/>
      <c r="C40" s="20"/>
      <c r="D40" s="20" t="s">
        <v>16</v>
      </c>
      <c r="E40" s="23"/>
      <c r="F40" s="20"/>
      <c r="G40" s="20"/>
      <c r="H40" s="20"/>
      <c r="I40" s="7" t="s">
        <v>17</v>
      </c>
      <c r="J40" s="20"/>
    </row>
    <row r="41" spans="1:10" ht="12" customHeight="1" x14ac:dyDescent="0.2">
      <c r="A41" s="20"/>
      <c r="B41" s="20"/>
      <c r="C41" s="20"/>
      <c r="D41" s="20"/>
      <c r="E41" s="23"/>
      <c r="F41" s="20"/>
      <c r="G41" s="20"/>
      <c r="H41" s="20"/>
      <c r="I41" s="20"/>
      <c r="J41" s="20"/>
    </row>
    <row r="42" spans="1:10" ht="12" customHeight="1" x14ac:dyDescent="0.2">
      <c r="A42" s="20"/>
      <c r="B42" s="20"/>
      <c r="C42" s="20"/>
      <c r="D42" s="20" t="s">
        <v>2</v>
      </c>
      <c r="E42" s="23"/>
      <c r="F42" s="20"/>
      <c r="G42" s="20"/>
      <c r="H42" s="20"/>
      <c r="I42" s="18">
        <v>1000</v>
      </c>
      <c r="J42" s="20"/>
    </row>
    <row r="43" spans="1:10" ht="12" customHeight="1" x14ac:dyDescent="0.2">
      <c r="A43" s="20"/>
      <c r="B43" s="20"/>
      <c r="C43" s="20"/>
      <c r="D43" s="20"/>
      <c r="E43" s="23"/>
      <c r="F43" s="20"/>
      <c r="G43" s="20"/>
      <c r="H43" s="20"/>
      <c r="I43" s="20"/>
      <c r="J43" s="20"/>
    </row>
    <row r="44" spans="1:10" ht="12" customHeight="1" x14ac:dyDescent="0.25">
      <c r="A44" s="20"/>
      <c r="B44" s="20"/>
      <c r="C44" s="20"/>
      <c r="D44" s="20" t="s">
        <v>18</v>
      </c>
      <c r="E44" s="23"/>
      <c r="F44" s="20"/>
      <c r="G44" s="20"/>
      <c r="H44" s="20"/>
      <c r="I44" s="1" t="s">
        <v>17</v>
      </c>
      <c r="J44" s="20"/>
    </row>
    <row r="45" spans="1:10" ht="12" customHeight="1" x14ac:dyDescent="0.2">
      <c r="A45" s="20"/>
      <c r="B45" s="20"/>
      <c r="C45" s="20"/>
      <c r="D45" s="20"/>
      <c r="E45" s="23"/>
      <c r="F45" s="20"/>
      <c r="G45" s="20"/>
      <c r="H45" s="20"/>
      <c r="I45" s="20"/>
      <c r="J45" s="20"/>
    </row>
    <row r="46" spans="1:10" ht="12" customHeight="1" x14ac:dyDescent="0.2">
      <c r="A46" s="20"/>
      <c r="B46" s="20"/>
      <c r="C46" s="20"/>
      <c r="D46" s="20" t="s">
        <v>19</v>
      </c>
      <c r="E46" s="23"/>
      <c r="F46" s="20"/>
      <c r="G46" s="20"/>
      <c r="H46" s="20"/>
      <c r="I46" s="9" t="s">
        <v>17</v>
      </c>
      <c r="J46" s="20"/>
    </row>
    <row r="47" spans="1:10" ht="12" customHeight="1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</row>
    <row r="48" spans="1:10" ht="12" customHeight="1" x14ac:dyDescent="0.2">
      <c r="A48" s="9"/>
      <c r="B48" s="9"/>
      <c r="C48" s="9" t="s">
        <v>1</v>
      </c>
      <c r="D48" s="9"/>
      <c r="E48" s="9"/>
      <c r="F48" s="9"/>
      <c r="G48" s="9"/>
      <c r="H48" s="9"/>
      <c r="I48" s="9"/>
      <c r="J48" s="9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outlinePr summaryBelow="0"/>
  </sheetPr>
  <dimension ref="A1:P85"/>
  <sheetViews>
    <sheetView showGridLines="0" zoomScale="85" zoomScaleNormal="85" zoomScalePageLayoutView="85" workbookViewId="0">
      <pane ySplit="8" topLeftCell="A9" activePane="bottomLeft" state="frozen"/>
      <selection pane="bottomLeft" activeCell="H13" sqref="H13:P13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1" customWidth="1"/>
    <col min="4" max="4" width="40.7109375" style="11" customWidth="1"/>
    <col min="5" max="6" width="12.7109375" style="2" customWidth="1"/>
    <col min="7" max="7" width="3.7109375" style="2" customWidth="1"/>
    <col min="8" max="8" width="10.7109375" style="12" customWidth="1"/>
    <col min="9" max="16" width="12.7109375" style="2" customWidth="1"/>
    <col min="17" max="16384" width="8.85546875" style="2"/>
  </cols>
  <sheetData>
    <row r="1" spans="1:16" ht="23.25" x14ac:dyDescent="0.35">
      <c r="A1" s="34" t="s">
        <v>25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s="3" customFormat="1" ht="18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18" customHeight="1" x14ac:dyDescent="0.25">
      <c r="A3" s="37">
        <v>1</v>
      </c>
      <c r="B3" s="35"/>
      <c r="C3" s="38" t="s">
        <v>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s="4" customFormat="1" ht="12" customHeight="1" x14ac:dyDescent="0.2">
      <c r="F4" s="17"/>
      <c r="H4" s="5"/>
      <c r="I4" s="17"/>
    </row>
    <row r="5" spans="1:16" s="4" customFormat="1" ht="12" customHeight="1" x14ac:dyDescent="0.2">
      <c r="H5" s="5"/>
    </row>
    <row r="6" spans="1:16" s="4" customFormat="1" ht="12" customHeight="1" x14ac:dyDescent="0.25">
      <c r="D6" s="6"/>
      <c r="E6" s="7"/>
      <c r="H6" s="5"/>
      <c r="L6" s="8"/>
      <c r="M6" s="8"/>
      <c r="N6" s="8"/>
      <c r="O6" s="8"/>
      <c r="P6" s="8"/>
    </row>
    <row r="7" spans="1:16" s="4" customFormat="1" ht="12" customHeight="1" x14ac:dyDescent="0.25">
      <c r="D7" s="6"/>
      <c r="E7" s="7"/>
      <c r="F7" s="5" t="s">
        <v>0</v>
      </c>
    </row>
    <row r="8" spans="1:16" s="4" customFormat="1" ht="12" customHeight="1" x14ac:dyDescent="0.2">
      <c r="E8" s="7"/>
      <c r="H8" s="5"/>
    </row>
    <row r="9" spans="1:16" s="4" customFormat="1" ht="12" customHeight="1" x14ac:dyDescent="0.2">
      <c r="E9" s="7"/>
      <c r="H9" s="5"/>
    </row>
    <row r="10" spans="1:16" s="4" customFormat="1" ht="12" customHeight="1" x14ac:dyDescent="0.2">
      <c r="E10" s="7"/>
      <c r="H10" s="5"/>
      <c r="L10" s="14"/>
      <c r="M10" s="14"/>
      <c r="N10" s="14"/>
      <c r="O10" s="14"/>
      <c r="P10" s="14"/>
    </row>
    <row r="11" spans="1:16" ht="12" customHeight="1" x14ac:dyDescent="0.2">
      <c r="A11" s="9">
        <v>1.01</v>
      </c>
      <c r="B11" s="9"/>
      <c r="C11" s="9" t="s">
        <v>36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12" customHeight="1" x14ac:dyDescent="0.2">
      <c r="A12" s="4"/>
      <c r="B12" s="4"/>
      <c r="C12" s="4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</row>
    <row r="13" spans="1:16" ht="12" customHeight="1" x14ac:dyDescent="0.2">
      <c r="A13" s="4"/>
      <c r="B13" s="4"/>
      <c r="C13" s="27" t="s">
        <v>53</v>
      </c>
      <c r="D13" s="4"/>
      <c r="E13" s="4"/>
      <c r="F13" s="4"/>
      <c r="G13" s="4"/>
      <c r="H13" s="29" t="s">
        <v>26</v>
      </c>
      <c r="I13" s="29" t="s">
        <v>27</v>
      </c>
      <c r="J13" s="29" t="s">
        <v>28</v>
      </c>
      <c r="K13" s="29" t="s">
        <v>29</v>
      </c>
      <c r="L13" s="29" t="s">
        <v>30</v>
      </c>
      <c r="M13" s="29" t="s">
        <v>31</v>
      </c>
      <c r="N13" s="29" t="s">
        <v>32</v>
      </c>
      <c r="O13" s="29" t="s">
        <v>33</v>
      </c>
      <c r="P13" s="29" t="s">
        <v>34</v>
      </c>
    </row>
    <row r="14" spans="1:16" ht="12" customHeight="1" x14ac:dyDescent="0.2">
      <c r="A14" s="4"/>
      <c r="B14" s="4"/>
      <c r="C14" s="4"/>
      <c r="D14" s="4" t="s">
        <v>51</v>
      </c>
      <c r="E14" s="4"/>
      <c r="F14" s="5" t="s">
        <v>35</v>
      </c>
      <c r="G14" s="4"/>
      <c r="H14" s="19">
        <v>2438</v>
      </c>
      <c r="I14" s="19">
        <v>544</v>
      </c>
      <c r="J14" s="19">
        <v>121</v>
      </c>
      <c r="K14" s="19">
        <v>553</v>
      </c>
      <c r="L14" s="19">
        <v>103</v>
      </c>
      <c r="M14" s="19">
        <v>300</v>
      </c>
      <c r="N14" s="19">
        <v>501</v>
      </c>
      <c r="O14" s="19">
        <v>579</v>
      </c>
      <c r="P14" s="19">
        <v>1138</v>
      </c>
    </row>
    <row r="15" spans="1:16" ht="12" customHeight="1" x14ac:dyDescent="0.2">
      <c r="A15" s="4"/>
      <c r="B15" s="4"/>
      <c r="C15" s="4"/>
      <c r="D15" s="4" t="s">
        <v>52</v>
      </c>
      <c r="E15" s="4"/>
      <c r="F15" s="5" t="s">
        <v>60</v>
      </c>
      <c r="G15" s="4"/>
      <c r="H15" s="33" t="s">
        <v>47</v>
      </c>
      <c r="I15" s="33" t="s">
        <v>47</v>
      </c>
      <c r="J15" s="33" t="s">
        <v>47</v>
      </c>
      <c r="K15" s="32" t="s">
        <v>48</v>
      </c>
      <c r="L15" s="32" t="s">
        <v>48</v>
      </c>
      <c r="M15" s="32" t="s">
        <v>48</v>
      </c>
      <c r="N15" s="33" t="s">
        <v>49</v>
      </c>
      <c r="O15" s="33" t="s">
        <v>49</v>
      </c>
      <c r="P15" s="33" t="s">
        <v>49</v>
      </c>
    </row>
    <row r="16" spans="1:16" ht="12" customHeight="1" x14ac:dyDescent="0.2">
      <c r="A16" s="4"/>
      <c r="B16" s="4"/>
      <c r="C16" s="4"/>
      <c r="D16" s="4"/>
      <c r="E16" s="4"/>
      <c r="F16" s="5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12" customHeight="1" x14ac:dyDescent="0.2">
      <c r="A17" s="4"/>
      <c r="B17" s="4"/>
      <c r="C17" s="4"/>
      <c r="D17" s="4" t="s">
        <v>54</v>
      </c>
      <c r="E17" s="4"/>
      <c r="F17" s="5" t="s">
        <v>35</v>
      </c>
      <c r="G17" s="4"/>
      <c r="H17" s="28">
        <f xml:space="preserve"> H14</f>
        <v>2438</v>
      </c>
      <c r="I17" s="28">
        <f t="shared" ref="I17:P17" si="0" xml:space="preserve"> I14</f>
        <v>544</v>
      </c>
      <c r="J17" s="28">
        <f t="shared" si="0"/>
        <v>121</v>
      </c>
      <c r="K17" s="28">
        <f t="shared" si="0"/>
        <v>553</v>
      </c>
      <c r="L17" s="28">
        <f t="shared" si="0"/>
        <v>103</v>
      </c>
      <c r="M17" s="28">
        <f t="shared" si="0"/>
        <v>300</v>
      </c>
      <c r="N17" s="28">
        <f t="shared" si="0"/>
        <v>501</v>
      </c>
      <c r="O17" s="28">
        <f t="shared" si="0"/>
        <v>579</v>
      </c>
      <c r="P17" s="28">
        <f t="shared" si="0"/>
        <v>1138</v>
      </c>
    </row>
    <row r="18" spans="1:16" ht="12" customHeight="1" x14ac:dyDescent="0.2">
      <c r="A18" s="4"/>
      <c r="B18" s="4"/>
      <c r="C18" s="4"/>
      <c r="D18" s="4" t="s">
        <v>55</v>
      </c>
      <c r="E18" s="4"/>
      <c r="F18" s="5" t="s">
        <v>60</v>
      </c>
      <c r="G18" s="4"/>
      <c r="H18" s="33" t="s">
        <v>47</v>
      </c>
      <c r="I18" s="33" t="s">
        <v>47</v>
      </c>
      <c r="J18" s="33" t="s">
        <v>47</v>
      </c>
      <c r="K18" s="33" t="s">
        <v>47</v>
      </c>
      <c r="L18" s="32" t="s">
        <v>48</v>
      </c>
      <c r="M18" s="32" t="s">
        <v>48</v>
      </c>
      <c r="N18" s="32" t="s">
        <v>48</v>
      </c>
      <c r="O18" s="32" t="s">
        <v>48</v>
      </c>
      <c r="P18" s="32" t="s">
        <v>48</v>
      </c>
    </row>
    <row r="19" spans="1:16" ht="12" customHeight="1" x14ac:dyDescent="0.2">
      <c r="A19" s="4"/>
      <c r="B19" s="4"/>
      <c r="C19" s="4"/>
      <c r="D19" s="4"/>
      <c r="E19" s="4"/>
      <c r="F19" s="5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12" customHeight="1" x14ac:dyDescent="0.2">
      <c r="A20" s="4"/>
      <c r="B20" s="4"/>
      <c r="C20" s="4"/>
      <c r="D20" s="4" t="s">
        <v>56</v>
      </c>
      <c r="E20" s="4"/>
      <c r="F20" s="5" t="s">
        <v>35</v>
      </c>
      <c r="G20" s="4"/>
      <c r="H20" s="19">
        <v>2099</v>
      </c>
      <c r="I20" s="19">
        <v>519</v>
      </c>
      <c r="J20" s="19">
        <v>107</v>
      </c>
      <c r="K20" s="19">
        <v>333</v>
      </c>
      <c r="L20" s="19">
        <v>88</v>
      </c>
      <c r="M20" s="19">
        <v>280</v>
      </c>
      <c r="N20" s="19">
        <v>567</v>
      </c>
      <c r="O20" s="19">
        <v>898</v>
      </c>
      <c r="P20" s="19">
        <v>1087</v>
      </c>
    </row>
    <row r="21" spans="1:16" ht="12" customHeight="1" x14ac:dyDescent="0.2">
      <c r="A21" s="4"/>
      <c r="B21" s="4"/>
      <c r="C21" s="4"/>
      <c r="D21" s="4" t="s">
        <v>57</v>
      </c>
      <c r="E21" s="4"/>
      <c r="F21" s="5" t="s">
        <v>60</v>
      </c>
      <c r="G21" s="4"/>
      <c r="H21" s="33" t="s">
        <v>47</v>
      </c>
      <c r="I21" s="33" t="s">
        <v>47</v>
      </c>
      <c r="J21" s="33" t="s">
        <v>47</v>
      </c>
      <c r="K21" s="32" t="s">
        <v>48</v>
      </c>
      <c r="L21" s="32" t="s">
        <v>48</v>
      </c>
      <c r="M21" s="32" t="s">
        <v>48</v>
      </c>
      <c r="N21" s="33" t="s">
        <v>49</v>
      </c>
      <c r="O21" s="33" t="s">
        <v>49</v>
      </c>
      <c r="P21" s="33" t="s">
        <v>49</v>
      </c>
    </row>
    <row r="22" spans="1:16" ht="12" customHeight="1" x14ac:dyDescent="0.2">
      <c r="A22" s="4"/>
      <c r="B22" s="4"/>
      <c r="C22" s="4"/>
      <c r="D22" s="4"/>
      <c r="E22" s="4"/>
      <c r="F22" s="5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12" customHeight="1" x14ac:dyDescent="0.2">
      <c r="A23" s="4"/>
      <c r="B23" s="4"/>
      <c r="C23" s="4"/>
      <c r="D23" s="4" t="s">
        <v>58</v>
      </c>
      <c r="E23" s="4"/>
      <c r="F23" s="5" t="s">
        <v>35</v>
      </c>
      <c r="G23" s="4"/>
      <c r="H23" s="28">
        <f xml:space="preserve"> H20</f>
        <v>2099</v>
      </c>
      <c r="I23" s="28">
        <f t="shared" ref="I23:P23" si="1" xml:space="preserve"> I20</f>
        <v>519</v>
      </c>
      <c r="J23" s="28">
        <f t="shared" si="1"/>
        <v>107</v>
      </c>
      <c r="K23" s="28">
        <f t="shared" si="1"/>
        <v>333</v>
      </c>
      <c r="L23" s="28">
        <f t="shared" si="1"/>
        <v>88</v>
      </c>
      <c r="M23" s="28">
        <f t="shared" si="1"/>
        <v>280</v>
      </c>
      <c r="N23" s="28">
        <f t="shared" si="1"/>
        <v>567</v>
      </c>
      <c r="O23" s="28">
        <f t="shared" si="1"/>
        <v>898</v>
      </c>
      <c r="P23" s="28">
        <f t="shared" si="1"/>
        <v>1087</v>
      </c>
    </row>
    <row r="24" spans="1:16" ht="12" customHeight="1" x14ac:dyDescent="0.2">
      <c r="A24" s="4"/>
      <c r="B24" s="4"/>
      <c r="C24" s="4"/>
      <c r="D24" s="4" t="s">
        <v>59</v>
      </c>
      <c r="E24" s="4"/>
      <c r="F24" s="5" t="s">
        <v>60</v>
      </c>
      <c r="G24" s="4"/>
      <c r="H24" s="33" t="s">
        <v>47</v>
      </c>
      <c r="I24" s="33" t="s">
        <v>47</v>
      </c>
      <c r="J24" s="33" t="s">
        <v>47</v>
      </c>
      <c r="K24" s="33" t="s">
        <v>47</v>
      </c>
      <c r="L24" s="33" t="s">
        <v>47</v>
      </c>
      <c r="M24" s="33" t="s">
        <v>47</v>
      </c>
      <c r="N24" s="33" t="s">
        <v>47</v>
      </c>
      <c r="O24" s="33" t="s">
        <v>47</v>
      </c>
      <c r="P24" s="33" t="s">
        <v>47</v>
      </c>
    </row>
    <row r="25" spans="1:16" ht="12" customHeight="1" x14ac:dyDescent="0.2">
      <c r="A25" s="4"/>
      <c r="B25" s="4"/>
      <c r="C25" s="4"/>
      <c r="D25" s="4"/>
      <c r="E25" s="4"/>
      <c r="F25" s="4"/>
      <c r="G25" s="4"/>
      <c r="H25" s="5"/>
      <c r="I25" s="4"/>
      <c r="J25" s="4"/>
      <c r="K25" s="4"/>
      <c r="L25" s="4"/>
      <c r="M25" s="4"/>
      <c r="N25" s="4"/>
      <c r="O25" s="4"/>
      <c r="P25" s="4"/>
    </row>
    <row r="26" spans="1:16" ht="12" customHeight="1" x14ac:dyDescent="0.2">
      <c r="A26" s="4"/>
      <c r="B26" s="4"/>
      <c r="C26" s="27" t="s">
        <v>37</v>
      </c>
      <c r="D26" s="4"/>
      <c r="E26" s="4"/>
      <c r="F26" s="5"/>
      <c r="G26" s="4"/>
      <c r="H26" s="29" t="s">
        <v>26</v>
      </c>
      <c r="I26" s="29" t="s">
        <v>27</v>
      </c>
      <c r="J26" s="29" t="s">
        <v>28</v>
      </c>
      <c r="K26" s="29" t="s">
        <v>29</v>
      </c>
      <c r="L26" s="29" t="s">
        <v>30</v>
      </c>
      <c r="M26" s="29" t="s">
        <v>31</v>
      </c>
      <c r="N26" s="29" t="s">
        <v>32</v>
      </c>
      <c r="O26" s="29" t="s">
        <v>33</v>
      </c>
      <c r="P26" s="29" t="s">
        <v>34</v>
      </c>
    </row>
    <row r="27" spans="1:16" ht="12" customHeight="1" x14ac:dyDescent="0.2">
      <c r="A27" s="4"/>
      <c r="B27" s="4"/>
      <c r="C27" s="4"/>
      <c r="D27" s="4" t="s">
        <v>38</v>
      </c>
      <c r="E27" s="4"/>
      <c r="F27" s="5" t="s">
        <v>35</v>
      </c>
      <c r="G27" s="4"/>
      <c r="H27" s="19">
        <v>2700</v>
      </c>
      <c r="I27" s="19">
        <v>400</v>
      </c>
      <c r="J27" s="19">
        <v>100</v>
      </c>
      <c r="K27" s="19">
        <v>400</v>
      </c>
      <c r="L27" s="19">
        <v>100</v>
      </c>
      <c r="M27" s="19">
        <v>400</v>
      </c>
      <c r="N27" s="19">
        <v>600</v>
      </c>
      <c r="O27" s="19">
        <v>700</v>
      </c>
      <c r="P27" s="19">
        <v>900</v>
      </c>
    </row>
    <row r="28" spans="1:16" ht="12" customHeight="1" x14ac:dyDescent="0.2">
      <c r="A28" s="4"/>
      <c r="B28" s="4"/>
      <c r="C28" s="4"/>
      <c r="D28" s="4"/>
      <c r="E28" s="4"/>
      <c r="F28" s="4"/>
      <c r="G28" s="4"/>
      <c r="H28" s="5">
        <f>--(H14&gt;H27)</f>
        <v>0</v>
      </c>
      <c r="I28" s="5">
        <f t="shared" ref="I28:P28" si="2">--(I14&gt;I27)</f>
        <v>1</v>
      </c>
      <c r="J28" s="5">
        <f t="shared" si="2"/>
        <v>1</v>
      </c>
      <c r="K28" s="5">
        <f t="shared" si="2"/>
        <v>1</v>
      </c>
      <c r="L28" s="5">
        <f t="shared" si="2"/>
        <v>1</v>
      </c>
      <c r="M28" s="5">
        <f t="shared" si="2"/>
        <v>0</v>
      </c>
      <c r="N28" s="5">
        <f t="shared" si="2"/>
        <v>0</v>
      </c>
      <c r="O28" s="5">
        <f t="shared" si="2"/>
        <v>0</v>
      </c>
      <c r="P28" s="5">
        <f t="shared" si="2"/>
        <v>1</v>
      </c>
    </row>
    <row r="29" spans="1:16" ht="12" customHeight="1" x14ac:dyDescent="0.2">
      <c r="A29" s="4"/>
      <c r="B29" s="4"/>
      <c r="C29" s="4"/>
      <c r="D29" s="4"/>
      <c r="E29" s="4"/>
      <c r="F29" s="4"/>
      <c r="G29" s="4"/>
      <c r="H29" s="5"/>
      <c r="I29" s="4"/>
      <c r="J29" s="4"/>
      <c r="K29" s="4"/>
      <c r="L29" s="4"/>
      <c r="M29" s="4"/>
      <c r="N29" s="4"/>
      <c r="O29" s="4"/>
      <c r="P29" s="4"/>
    </row>
    <row r="30" spans="1:16" ht="12" customHeight="1" x14ac:dyDescent="0.2">
      <c r="A30" s="9">
        <v>1.02</v>
      </c>
      <c r="B30" s="9"/>
      <c r="C30" s="9" t="s">
        <v>39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 x14ac:dyDescent="0.2">
      <c r="A31" s="4"/>
      <c r="B31" s="4"/>
      <c r="C31" s="4"/>
      <c r="D31" s="4"/>
      <c r="E31" s="4"/>
      <c r="F31" s="4"/>
      <c r="G31" s="4"/>
      <c r="H31" s="5"/>
      <c r="I31" s="4"/>
      <c r="J31" s="4"/>
      <c r="K31" s="4"/>
      <c r="L31" s="4"/>
      <c r="M31" s="4"/>
      <c r="N31" s="4"/>
      <c r="O31" s="4"/>
      <c r="P31" s="4"/>
    </row>
    <row r="32" spans="1:16" x14ac:dyDescent="0.2">
      <c r="A32" s="4"/>
      <c r="B32" s="4"/>
      <c r="C32" s="27" t="s">
        <v>41</v>
      </c>
      <c r="D32" s="4"/>
      <c r="E32" s="4"/>
      <c r="F32" s="4"/>
      <c r="G32" s="4"/>
      <c r="H32" s="28" t="s">
        <v>26</v>
      </c>
      <c r="I32" s="28" t="s">
        <v>27</v>
      </c>
      <c r="J32" s="28" t="s">
        <v>28</v>
      </c>
      <c r="K32" s="28" t="s">
        <v>29</v>
      </c>
      <c r="L32" s="28" t="s">
        <v>30</v>
      </c>
      <c r="M32" s="28" t="s">
        <v>31</v>
      </c>
      <c r="N32" s="28" t="s">
        <v>32</v>
      </c>
      <c r="O32" s="28" t="s">
        <v>33</v>
      </c>
      <c r="P32" s="28" t="s">
        <v>34</v>
      </c>
    </row>
    <row r="33" spans="1:16" x14ac:dyDescent="0.2">
      <c r="A33" s="4"/>
      <c r="B33" s="4"/>
      <c r="C33" s="4"/>
      <c r="D33" s="2"/>
      <c r="E33" s="30" t="s">
        <v>26</v>
      </c>
      <c r="F33" s="5" t="s">
        <v>40</v>
      </c>
      <c r="G33" s="4"/>
      <c r="H33" s="28"/>
      <c r="I33" s="20">
        <f>INDEX($H$33:$P$41,MATCH(I$32,$E$33:$E$41,0),MATCH($E33,$H$32:$P$32,0))</f>
        <v>482</v>
      </c>
      <c r="J33" s="20">
        <f t="shared" ref="J33:P40" si="3">INDEX($H$33:$P$41,MATCH(J$32,$E$33:$E$41,0),MATCH($E33,$H$32:$P$32,0))</f>
        <v>417</v>
      </c>
      <c r="K33" s="20">
        <f t="shared" si="3"/>
        <v>297</v>
      </c>
      <c r="L33" s="20">
        <f t="shared" si="3"/>
        <v>576</v>
      </c>
      <c r="M33" s="20">
        <f t="shared" si="3"/>
        <v>285</v>
      </c>
      <c r="N33" s="20">
        <f t="shared" si="3"/>
        <v>613</v>
      </c>
      <c r="O33" s="20">
        <f t="shared" si="3"/>
        <v>521</v>
      </c>
      <c r="P33" s="20">
        <f t="shared" si="3"/>
        <v>529.42999999999995</v>
      </c>
    </row>
    <row r="34" spans="1:16" x14ac:dyDescent="0.2">
      <c r="A34" s="4"/>
      <c r="B34" s="4"/>
      <c r="C34" s="4"/>
      <c r="D34" s="2"/>
      <c r="E34" s="30" t="s">
        <v>27</v>
      </c>
      <c r="F34" s="5" t="s">
        <v>40</v>
      </c>
      <c r="G34" s="4"/>
      <c r="H34" s="31">
        <v>482</v>
      </c>
      <c r="I34" s="42"/>
      <c r="J34" s="20">
        <f t="shared" si="3"/>
        <v>381.49</v>
      </c>
      <c r="K34" s="20">
        <f t="shared" si="3"/>
        <v>681.69</v>
      </c>
      <c r="L34" s="20">
        <f t="shared" si="3"/>
        <v>1096.43</v>
      </c>
      <c r="M34" s="20">
        <f t="shared" si="3"/>
        <v>853.92</v>
      </c>
      <c r="N34" s="20">
        <f t="shared" si="3"/>
        <v>1150.6500000000001</v>
      </c>
      <c r="O34" s="20">
        <f t="shared" si="3"/>
        <v>791.91</v>
      </c>
      <c r="P34" s="20">
        <f t="shared" si="3"/>
        <v>477.25</v>
      </c>
    </row>
    <row r="35" spans="1:16" x14ac:dyDescent="0.2">
      <c r="A35" s="4"/>
      <c r="B35" s="4"/>
      <c r="C35" s="4"/>
      <c r="D35" s="2"/>
      <c r="E35" s="30" t="s">
        <v>28</v>
      </c>
      <c r="F35" s="5" t="s">
        <v>40</v>
      </c>
      <c r="G35" s="4"/>
      <c r="H35" s="31">
        <v>417</v>
      </c>
      <c r="I35" s="31">
        <v>381.49</v>
      </c>
      <c r="J35" s="42"/>
      <c r="K35" s="20">
        <f t="shared" si="3"/>
        <v>340</v>
      </c>
      <c r="L35" s="20">
        <f t="shared" si="3"/>
        <v>790.23</v>
      </c>
      <c r="M35" s="20">
        <f t="shared" si="3"/>
        <v>683.4</v>
      </c>
      <c r="N35" s="20">
        <f t="shared" si="3"/>
        <v>1095.05</v>
      </c>
      <c r="O35" s="20">
        <f t="shared" si="3"/>
        <v>976.13</v>
      </c>
      <c r="P35" s="20">
        <f t="shared" si="3"/>
        <v>819.7</v>
      </c>
    </row>
    <row r="36" spans="1:16" x14ac:dyDescent="0.2">
      <c r="A36" s="4"/>
      <c r="B36" s="4"/>
      <c r="C36" s="4"/>
      <c r="D36" s="2"/>
      <c r="E36" s="30" t="s">
        <v>29</v>
      </c>
      <c r="F36" s="5" t="s">
        <v>40</v>
      </c>
      <c r="G36" s="4"/>
      <c r="H36" s="31">
        <v>297</v>
      </c>
      <c r="I36" s="31">
        <v>681.69</v>
      </c>
      <c r="J36" s="31">
        <v>340</v>
      </c>
      <c r="K36" s="42"/>
      <c r="L36" s="20">
        <f t="shared" si="3"/>
        <v>362.22</v>
      </c>
      <c r="M36" s="20">
        <f t="shared" si="3"/>
        <v>330</v>
      </c>
      <c r="N36" s="20">
        <f t="shared" si="3"/>
        <v>759.71</v>
      </c>
      <c r="O36" s="20">
        <f t="shared" si="3"/>
        <v>882.81</v>
      </c>
      <c r="P36" s="20">
        <f t="shared" si="3"/>
        <v>908.42</v>
      </c>
    </row>
    <row r="37" spans="1:16" x14ac:dyDescent="0.2">
      <c r="A37" s="4"/>
      <c r="B37" s="4"/>
      <c r="C37" s="4"/>
      <c r="D37" s="2"/>
      <c r="E37" s="30" t="s">
        <v>30</v>
      </c>
      <c r="F37" s="5" t="s">
        <v>40</v>
      </c>
      <c r="G37" s="4"/>
      <c r="H37" s="31">
        <v>576</v>
      </c>
      <c r="I37" s="31">
        <v>1096.43</v>
      </c>
      <c r="J37" s="31">
        <v>790.23</v>
      </c>
      <c r="K37" s="31">
        <v>362.22</v>
      </c>
      <c r="L37" s="42"/>
      <c r="M37" s="20">
        <f t="shared" si="3"/>
        <v>290</v>
      </c>
      <c r="N37" s="20">
        <f t="shared" si="3"/>
        <v>577</v>
      </c>
      <c r="O37" s="20">
        <f t="shared" si="3"/>
        <v>993.16</v>
      </c>
      <c r="P37" s="20">
        <f t="shared" si="3"/>
        <v>1133.92</v>
      </c>
    </row>
    <row r="38" spans="1:16" x14ac:dyDescent="0.2">
      <c r="A38" s="4"/>
      <c r="B38" s="4"/>
      <c r="C38" s="4"/>
      <c r="D38" s="2"/>
      <c r="E38" s="30" t="s">
        <v>31</v>
      </c>
      <c r="F38" s="5" t="s">
        <v>40</v>
      </c>
      <c r="G38" s="4"/>
      <c r="H38" s="31">
        <v>285</v>
      </c>
      <c r="I38" s="31">
        <v>853.92</v>
      </c>
      <c r="J38" s="31">
        <v>683.4</v>
      </c>
      <c r="K38" s="31">
        <v>330</v>
      </c>
      <c r="L38" s="31">
        <v>290</v>
      </c>
      <c r="M38" s="42"/>
      <c r="N38" s="20">
        <f t="shared" si="3"/>
        <v>341</v>
      </c>
      <c r="O38" s="20">
        <f t="shared" si="3"/>
        <v>620</v>
      </c>
      <c r="P38" s="20">
        <f t="shared" si="3"/>
        <v>804.87</v>
      </c>
    </row>
    <row r="39" spans="1:16" x14ac:dyDescent="0.2">
      <c r="A39" s="4"/>
      <c r="B39" s="4"/>
      <c r="C39" s="4"/>
      <c r="D39" s="2"/>
      <c r="E39" s="30" t="s">
        <v>32</v>
      </c>
      <c r="F39" s="5" t="s">
        <v>40</v>
      </c>
      <c r="G39" s="4"/>
      <c r="H39" s="31">
        <v>613</v>
      </c>
      <c r="I39" s="31">
        <v>1150.6500000000001</v>
      </c>
      <c r="J39" s="31">
        <v>1095.05</v>
      </c>
      <c r="K39" s="31">
        <v>759.71</v>
      </c>
      <c r="L39" s="31">
        <v>577</v>
      </c>
      <c r="M39" s="31">
        <v>341</v>
      </c>
      <c r="N39" s="42"/>
      <c r="O39" s="20">
        <f t="shared" si="3"/>
        <v>557.82000000000005</v>
      </c>
      <c r="P39" s="20">
        <f t="shared" si="3"/>
        <v>913.33</v>
      </c>
    </row>
    <row r="40" spans="1:16" x14ac:dyDescent="0.2">
      <c r="A40" s="4"/>
      <c r="B40" s="4"/>
      <c r="C40" s="4"/>
      <c r="D40" s="2"/>
      <c r="E40" s="30" t="s">
        <v>33</v>
      </c>
      <c r="F40" s="5" t="s">
        <v>40</v>
      </c>
      <c r="G40" s="4"/>
      <c r="H40" s="31">
        <v>521</v>
      </c>
      <c r="I40" s="31">
        <v>791.91</v>
      </c>
      <c r="J40" s="31">
        <v>976.13</v>
      </c>
      <c r="K40" s="31">
        <v>882.81</v>
      </c>
      <c r="L40" s="31">
        <v>993.16</v>
      </c>
      <c r="M40" s="31">
        <v>620</v>
      </c>
      <c r="N40" s="31">
        <v>557.82000000000005</v>
      </c>
      <c r="O40" s="42"/>
      <c r="P40" s="20">
        <f t="shared" si="3"/>
        <v>319.66000000000003</v>
      </c>
    </row>
    <row r="41" spans="1:16" x14ac:dyDescent="0.2">
      <c r="A41" s="4"/>
      <c r="B41" s="4"/>
      <c r="C41" s="4"/>
      <c r="D41" s="2"/>
      <c r="E41" s="30" t="s">
        <v>34</v>
      </c>
      <c r="F41" s="5" t="s">
        <v>40</v>
      </c>
      <c r="G41" s="4"/>
      <c r="H41" s="31">
        <v>529.42999999999995</v>
      </c>
      <c r="I41" s="31">
        <v>477.25</v>
      </c>
      <c r="J41" s="31">
        <v>819.7</v>
      </c>
      <c r="K41" s="31">
        <v>908.42</v>
      </c>
      <c r="L41" s="31">
        <v>1133.92</v>
      </c>
      <c r="M41" s="31">
        <v>804.87</v>
      </c>
      <c r="N41" s="31">
        <v>913.33</v>
      </c>
      <c r="O41" s="31">
        <v>319.66000000000003</v>
      </c>
      <c r="P41" s="28"/>
    </row>
    <row r="42" spans="1:16" x14ac:dyDescent="0.2">
      <c r="A42" s="4"/>
      <c r="B42" s="4"/>
      <c r="C42" s="4"/>
      <c r="D42" s="4"/>
      <c r="E42" s="4"/>
      <c r="F42" s="4"/>
      <c r="G42" s="4"/>
      <c r="H42" s="5"/>
      <c r="I42" s="4"/>
      <c r="J42" s="4"/>
      <c r="K42" s="4"/>
      <c r="L42" s="4"/>
      <c r="M42" s="4"/>
      <c r="N42" s="4"/>
      <c r="O42" s="4"/>
      <c r="P42" s="4"/>
    </row>
    <row r="43" spans="1:16" x14ac:dyDescent="0.2">
      <c r="A43" s="4"/>
      <c r="B43" s="4"/>
      <c r="C43" s="4"/>
      <c r="D43" s="4"/>
      <c r="E43" s="4"/>
      <c r="F43" s="4"/>
      <c r="G43" s="4"/>
      <c r="H43" s="5"/>
      <c r="I43" s="4"/>
      <c r="J43" s="4"/>
      <c r="K43" s="4"/>
      <c r="L43" s="4"/>
      <c r="M43" s="4"/>
      <c r="N43" s="4"/>
      <c r="O43" s="4"/>
      <c r="P43" s="4"/>
    </row>
    <row r="44" spans="1:16" ht="12" customHeight="1" x14ac:dyDescent="0.2">
      <c r="A44" s="9">
        <v>1.03</v>
      </c>
      <c r="B44" s="9"/>
      <c r="C44" s="9" t="s">
        <v>42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  <row r="45" spans="1:16" x14ac:dyDescent="0.2">
      <c r="A45" s="4"/>
      <c r="B45" s="4"/>
      <c r="C45" s="4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4"/>
      <c r="P45" s="4"/>
    </row>
    <row r="46" spans="1:16" x14ac:dyDescent="0.2">
      <c r="A46" s="4"/>
      <c r="B46" s="4"/>
      <c r="C46" s="27" t="s">
        <v>43</v>
      </c>
      <c r="D46" s="4"/>
      <c r="E46" s="4"/>
      <c r="F46" s="4"/>
      <c r="G46" s="4"/>
      <c r="H46" s="5"/>
      <c r="I46" s="4"/>
      <c r="J46" s="4"/>
      <c r="K46" s="4"/>
      <c r="L46" s="4"/>
      <c r="M46" s="4"/>
      <c r="N46" s="4"/>
      <c r="O46" s="4"/>
      <c r="P46" s="4"/>
    </row>
    <row r="47" spans="1:16" x14ac:dyDescent="0.2">
      <c r="A47" s="4"/>
      <c r="B47" s="4"/>
      <c r="C47" s="4"/>
      <c r="D47" s="4" t="s">
        <v>62</v>
      </c>
      <c r="E47" s="4"/>
      <c r="F47" s="5" t="s">
        <v>50</v>
      </c>
      <c r="H47" s="19">
        <v>2000</v>
      </c>
      <c r="J47" s="4"/>
      <c r="K47" s="4"/>
      <c r="L47" s="4"/>
      <c r="M47" s="4"/>
      <c r="N47" s="4"/>
      <c r="O47" s="4"/>
      <c r="P47" s="4"/>
    </row>
    <row r="48" spans="1:16" x14ac:dyDescent="0.2">
      <c r="A48" s="4"/>
      <c r="B48" s="4"/>
      <c r="C48" s="4"/>
      <c r="D48" s="4" t="s">
        <v>44</v>
      </c>
      <c r="E48" s="4"/>
      <c r="F48" s="5" t="s">
        <v>50</v>
      </c>
      <c r="H48" s="19">
        <v>-500</v>
      </c>
      <c r="J48" s="4"/>
      <c r="K48" s="4"/>
      <c r="L48" s="4"/>
      <c r="M48" s="4"/>
      <c r="N48" s="4"/>
      <c r="O48" s="4"/>
      <c r="P48" s="4"/>
    </row>
    <row r="49" spans="1:16" x14ac:dyDescent="0.2">
      <c r="A49" s="4"/>
      <c r="B49" s="4"/>
      <c r="C49" s="4"/>
      <c r="D49" s="4" t="s">
        <v>46</v>
      </c>
      <c r="E49" s="4"/>
      <c r="F49" s="5" t="s">
        <v>45</v>
      </c>
      <c r="H49" s="31">
        <v>1.4</v>
      </c>
      <c r="J49" s="4"/>
      <c r="K49" s="4"/>
      <c r="L49" s="4"/>
      <c r="M49" s="4"/>
      <c r="N49" s="4"/>
      <c r="O49" s="4"/>
      <c r="P49" s="4"/>
    </row>
    <row r="50" spans="1:16" x14ac:dyDescent="0.2">
      <c r="A50" s="4"/>
      <c r="B50" s="4"/>
      <c r="C50" s="4"/>
      <c r="D50" s="4"/>
      <c r="E50" s="4"/>
      <c r="F50" s="4"/>
      <c r="G50" s="4"/>
      <c r="H50" s="5"/>
      <c r="I50" s="4"/>
      <c r="J50" s="4"/>
      <c r="K50" s="4"/>
      <c r="L50" s="4"/>
      <c r="M50" s="4"/>
      <c r="N50" s="4"/>
      <c r="O50" s="4"/>
      <c r="P50" s="4"/>
    </row>
    <row r="51" spans="1:16" x14ac:dyDescent="0.2">
      <c r="A51" s="4"/>
      <c r="B51" s="4"/>
      <c r="C51" s="4"/>
      <c r="D51" s="4" t="s">
        <v>63</v>
      </c>
      <c r="E51" s="4"/>
      <c r="F51" s="5" t="s">
        <v>40</v>
      </c>
      <c r="G51" s="4"/>
      <c r="H51" s="20">
        <f>(H47-H48)/H49/2</f>
        <v>892.85714285714289</v>
      </c>
      <c r="I51" s="4"/>
      <c r="J51" s="4"/>
      <c r="K51" s="4"/>
      <c r="L51" s="4"/>
      <c r="M51" s="4"/>
      <c r="N51" s="4"/>
      <c r="O51" s="4"/>
      <c r="P51" s="4"/>
    </row>
    <row r="52" spans="1:16" x14ac:dyDescent="0.2">
      <c r="A52" s="4"/>
      <c r="B52" s="4"/>
      <c r="C52" s="4"/>
      <c r="D52" s="4"/>
      <c r="E52" s="4"/>
      <c r="F52" s="4"/>
      <c r="G52" s="4"/>
      <c r="H52" s="5"/>
      <c r="I52" s="4"/>
      <c r="J52" s="4"/>
      <c r="K52" s="4"/>
      <c r="L52" s="4"/>
      <c r="M52" s="4"/>
      <c r="N52" s="4"/>
      <c r="O52" s="4"/>
      <c r="P52" s="4"/>
    </row>
    <row r="53" spans="1:16" x14ac:dyDescent="0.2">
      <c r="A53" s="4"/>
      <c r="B53" s="4"/>
      <c r="C53" s="4"/>
      <c r="D53" s="4"/>
      <c r="E53" s="4"/>
      <c r="F53" s="4"/>
      <c r="G53" s="4"/>
      <c r="H53" s="5"/>
      <c r="I53" s="4"/>
      <c r="J53" s="4"/>
      <c r="K53" s="4"/>
      <c r="L53" s="4"/>
      <c r="M53" s="4"/>
      <c r="N53" s="4"/>
      <c r="O53" s="4"/>
      <c r="P53" s="4"/>
    </row>
    <row r="54" spans="1:16" ht="12" customHeight="1" x14ac:dyDescent="0.2">
      <c r="A54" s="9"/>
      <c r="B54" s="9"/>
      <c r="C54" s="9" t="s">
        <v>1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</row>
    <row r="55" spans="1:16" x14ac:dyDescent="0.2">
      <c r="A55" s="4"/>
      <c r="B55" s="4"/>
      <c r="C55" s="7"/>
      <c r="D55" s="4"/>
      <c r="E55" s="4"/>
      <c r="F55" s="4"/>
      <c r="G55" s="4"/>
      <c r="H55" s="5"/>
      <c r="I55" s="4"/>
      <c r="J55" s="4"/>
      <c r="K55" s="4"/>
      <c r="L55" s="4"/>
      <c r="M55" s="4"/>
      <c r="N55" s="4"/>
      <c r="O55" s="4"/>
      <c r="P55" s="4"/>
    </row>
    <row r="56" spans="1:16" x14ac:dyDescent="0.2">
      <c r="A56" s="4"/>
      <c r="B56" s="4"/>
      <c r="C56" s="7"/>
      <c r="D56" s="4"/>
      <c r="E56" s="4"/>
      <c r="F56" s="4"/>
      <c r="G56" s="4"/>
      <c r="H56" s="5"/>
      <c r="I56" s="4"/>
      <c r="J56" s="4"/>
      <c r="K56" s="4"/>
      <c r="L56" s="4"/>
      <c r="M56" s="4"/>
      <c r="N56" s="4"/>
      <c r="O56" s="4"/>
      <c r="P56" s="4"/>
    </row>
    <row r="57" spans="1:16" x14ac:dyDescent="0.2">
      <c r="A57" s="4"/>
      <c r="B57" s="4"/>
      <c r="C57" s="7"/>
      <c r="D57" s="4"/>
      <c r="E57" s="4"/>
      <c r="F57" s="4"/>
      <c r="G57" s="4"/>
      <c r="H57" s="5"/>
      <c r="I57" s="4"/>
      <c r="J57" s="4"/>
      <c r="K57" s="4"/>
      <c r="L57" s="4"/>
      <c r="M57" s="4"/>
      <c r="N57" s="4"/>
      <c r="O57" s="4"/>
      <c r="P57" s="4"/>
    </row>
    <row r="58" spans="1:16" x14ac:dyDescent="0.2">
      <c r="A58" s="4"/>
      <c r="B58" s="4"/>
      <c r="C58" s="7"/>
      <c r="D58" s="4"/>
      <c r="E58" s="4"/>
      <c r="F58" s="4"/>
      <c r="G58" s="4"/>
      <c r="H58" s="5"/>
      <c r="I58" s="4"/>
      <c r="J58" s="4"/>
      <c r="K58" s="4"/>
      <c r="L58" s="4"/>
      <c r="M58" s="4"/>
      <c r="N58" s="4"/>
      <c r="O58" s="4"/>
      <c r="P58" s="4"/>
    </row>
    <row r="59" spans="1:16" x14ac:dyDescent="0.2">
      <c r="A59" s="4"/>
      <c r="B59" s="4"/>
      <c r="C59" s="7"/>
      <c r="D59" s="4"/>
      <c r="E59" s="4"/>
      <c r="F59" s="4"/>
      <c r="G59" s="4"/>
      <c r="H59" s="5"/>
      <c r="I59" s="4"/>
      <c r="J59" s="4"/>
      <c r="K59" s="4"/>
      <c r="L59" s="4"/>
      <c r="M59" s="4"/>
      <c r="N59" s="4"/>
      <c r="O59" s="4"/>
      <c r="P59" s="4"/>
    </row>
    <row r="60" spans="1:16" x14ac:dyDescent="0.2">
      <c r="A60" s="4"/>
      <c r="B60" s="4"/>
      <c r="C60" s="7"/>
      <c r="D60" s="4"/>
      <c r="E60" s="4"/>
      <c r="F60" s="4"/>
      <c r="G60" s="4"/>
      <c r="H60" s="5"/>
      <c r="I60" s="4"/>
      <c r="J60" s="4"/>
      <c r="K60" s="4"/>
      <c r="L60" s="4"/>
      <c r="M60" s="4"/>
      <c r="N60" s="4"/>
      <c r="O60" s="4"/>
      <c r="P60" s="4"/>
    </row>
    <row r="61" spans="1:16" x14ac:dyDescent="0.2">
      <c r="A61" s="4"/>
      <c r="B61" s="4"/>
      <c r="C61" s="7"/>
      <c r="D61" s="4"/>
      <c r="E61" s="4"/>
      <c r="F61" s="4"/>
      <c r="G61" s="4"/>
      <c r="H61" s="5"/>
      <c r="I61" s="4"/>
      <c r="J61" s="4"/>
      <c r="K61" s="4"/>
      <c r="L61" s="4"/>
      <c r="M61" s="4"/>
      <c r="N61" s="4"/>
      <c r="O61" s="4"/>
      <c r="P61" s="4"/>
    </row>
    <row r="62" spans="1:16" x14ac:dyDescent="0.2">
      <c r="A62" s="4"/>
      <c r="B62" s="4"/>
      <c r="C62" s="7"/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</row>
    <row r="63" spans="1:16" x14ac:dyDescent="0.2">
      <c r="A63" s="4"/>
      <c r="B63" s="4"/>
      <c r="C63" s="7"/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</row>
    <row r="64" spans="1:16" x14ac:dyDescent="0.2">
      <c r="A64" s="4"/>
      <c r="B64" s="4"/>
      <c r="C64" s="7"/>
      <c r="D64" s="4"/>
      <c r="E64" s="4"/>
      <c r="F64" s="4"/>
      <c r="G64" s="4"/>
      <c r="H64" s="5"/>
      <c r="I64" s="4"/>
      <c r="J64" s="4"/>
      <c r="K64" s="4"/>
      <c r="L64" s="4"/>
      <c r="M64" s="4"/>
      <c r="N64" s="4"/>
      <c r="O64" s="4"/>
      <c r="P64" s="4"/>
    </row>
    <row r="65" spans="1:16" x14ac:dyDescent="0.2">
      <c r="A65" s="4"/>
      <c r="B65" s="4"/>
      <c r="C65" s="7"/>
      <c r="D65" s="4"/>
      <c r="E65" s="4"/>
      <c r="F65" s="4"/>
      <c r="G65" s="4"/>
      <c r="H65" s="5"/>
      <c r="I65" s="4"/>
      <c r="J65" s="4"/>
      <c r="K65" s="4"/>
      <c r="L65" s="4"/>
      <c r="M65" s="4"/>
      <c r="N65" s="4"/>
      <c r="O65" s="4"/>
      <c r="P65" s="4"/>
    </row>
    <row r="66" spans="1:16" x14ac:dyDescent="0.2">
      <c r="A66" s="4"/>
      <c r="B66" s="4"/>
      <c r="C66" s="7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x14ac:dyDescent="0.2">
      <c r="A67" s="4"/>
      <c r="B67" s="4"/>
      <c r="C67" s="7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x14ac:dyDescent="0.2">
      <c r="A68" s="4"/>
      <c r="B68" s="4"/>
      <c r="C68" s="7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x14ac:dyDescent="0.2">
      <c r="A69" s="4"/>
      <c r="B69" s="4"/>
      <c r="C69" s="7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x14ac:dyDescent="0.2">
      <c r="A70" s="4"/>
      <c r="B70" s="4"/>
      <c r="C70" s="7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outlinePr summaryBelow="0"/>
  </sheetPr>
  <dimension ref="A1:AG67"/>
  <sheetViews>
    <sheetView showGridLines="0" tabSelected="1" zoomScale="85" zoomScaleNormal="85" zoomScalePageLayoutView="85" workbookViewId="0">
      <pane ySplit="8" topLeftCell="A9" activePane="bottomLeft" state="frozen"/>
      <selection pane="bottomLeft" activeCell="A9" sqref="A9"/>
    </sheetView>
  </sheetViews>
  <sheetFormatPr defaultColWidth="8.85546875" defaultRowHeight="12.75" x14ac:dyDescent="0.2"/>
  <cols>
    <col min="1" max="1" width="7.28515625" style="40" customWidth="1"/>
    <col min="2" max="2" width="4.7109375" style="40" customWidth="1"/>
    <col min="3" max="3" width="3.7109375" style="40" customWidth="1"/>
    <col min="4" max="4" width="10.7109375" style="41" customWidth="1"/>
    <col min="5" max="18" width="12.7109375" style="40" customWidth="1"/>
    <col min="19" max="19" width="10.85546875" style="40" bestFit="1" customWidth="1"/>
    <col min="20" max="21" width="8.85546875" style="40"/>
    <col min="22" max="23" width="10.85546875" style="40" bestFit="1" customWidth="1"/>
    <col min="24" max="24" width="11.42578125" style="40" bestFit="1" customWidth="1"/>
    <col min="25" max="16384" width="8.85546875" style="40"/>
  </cols>
  <sheetData>
    <row r="1" spans="1:33" s="2" customFormat="1" ht="23.25" x14ac:dyDescent="0.35">
      <c r="A1" s="34" t="s">
        <v>25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33" s="3" customFormat="1" ht="18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33" s="2" customFormat="1" ht="18" customHeight="1" x14ac:dyDescent="0.25">
      <c r="A3" s="37"/>
      <c r="B3" s="35"/>
      <c r="C3" s="38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1:33" s="4" customFormat="1" ht="12" customHeight="1" x14ac:dyDescent="0.2"/>
    <row r="5" spans="1:33" s="4" customFormat="1" ht="12" customHeight="1" x14ac:dyDescent="0.2"/>
    <row r="6" spans="1:33" s="4" customFormat="1" ht="12" customHeight="1" x14ac:dyDescent="0.2"/>
    <row r="7" spans="1:33" s="4" customFormat="1" ht="12" customHeight="1" x14ac:dyDescent="0.2"/>
    <row r="8" spans="1:33" s="4" customFormat="1" ht="12" customHeight="1" x14ac:dyDescent="0.2">
      <c r="D8" s="5"/>
    </row>
    <row r="9" spans="1:33" s="4" customFormat="1" ht="12" customHeight="1" x14ac:dyDescent="0.2">
      <c r="D9" s="5"/>
    </row>
    <row r="10" spans="1:33" s="4" customFormat="1" ht="12" customHeight="1" x14ac:dyDescent="0.2">
      <c r="D10" s="5"/>
    </row>
    <row r="11" spans="1:33" s="2" customFormat="1" ht="12" customHeight="1" x14ac:dyDescent="0.2">
      <c r="A11" s="9">
        <f>MAX(A$3:A8)+0.01</f>
        <v>0.01</v>
      </c>
      <c r="B11" s="9"/>
      <c r="C11" s="9" t="s">
        <v>61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33" ht="12" customHeight="1" x14ac:dyDescent="0.2">
      <c r="A12" s="39"/>
      <c r="B12" s="39"/>
      <c r="C12" s="39"/>
      <c r="P12" s="39"/>
      <c r="Q12" s="39"/>
      <c r="R12" s="39"/>
    </row>
    <row r="13" spans="1:33" x14ac:dyDescent="0.2">
      <c r="A13" s="39"/>
      <c r="B13" s="39"/>
      <c r="C13" s="39"/>
      <c r="P13" s="40">
        <f t="shared" ref="P13:X13" si="0">+O13+1</f>
        <v>1</v>
      </c>
      <c r="Q13" s="40">
        <f t="shared" si="0"/>
        <v>2</v>
      </c>
      <c r="R13" s="40">
        <f t="shared" si="0"/>
        <v>3</v>
      </c>
      <c r="S13" s="40">
        <f t="shared" si="0"/>
        <v>4</v>
      </c>
      <c r="T13" s="40">
        <f t="shared" si="0"/>
        <v>5</v>
      </c>
      <c r="U13" s="40">
        <f t="shared" si="0"/>
        <v>6</v>
      </c>
      <c r="V13" s="40">
        <f t="shared" si="0"/>
        <v>7</v>
      </c>
      <c r="W13" s="40">
        <f t="shared" si="0"/>
        <v>8</v>
      </c>
      <c r="X13" s="40">
        <f t="shared" si="0"/>
        <v>9</v>
      </c>
    </row>
    <row r="14" spans="1:33" ht="15" x14ac:dyDescent="0.35">
      <c r="A14" s="39"/>
      <c r="B14" s="39"/>
      <c r="C14" s="39"/>
      <c r="P14" s="44" t="s">
        <v>72</v>
      </c>
      <c r="Q14" s="44"/>
      <c r="R14" s="44"/>
      <c r="S14" s="45"/>
      <c r="T14" s="45"/>
      <c r="U14" s="45"/>
      <c r="V14" s="45"/>
      <c r="W14" s="45"/>
      <c r="X14" s="45"/>
      <c r="Y14" s="45" t="s">
        <v>73</v>
      </c>
      <c r="Z14" s="45"/>
      <c r="AA14" s="45"/>
      <c r="AB14" s="45"/>
      <c r="AC14" s="45"/>
      <c r="AD14" s="45"/>
      <c r="AE14" s="45"/>
      <c r="AF14" s="45"/>
      <c r="AG14" s="45"/>
    </row>
    <row r="15" spans="1:33" ht="15" x14ac:dyDescent="0.35">
      <c r="A15" s="39"/>
      <c r="B15" s="39"/>
      <c r="C15" s="39"/>
      <c r="D15" s="28"/>
      <c r="E15" s="39"/>
      <c r="F15" s="39"/>
      <c r="G15" s="19" t="s">
        <v>86</v>
      </c>
      <c r="H15" s="39">
        <f>MATCH(G15&amp;"*",Assumptions!$D$14:$D$24,0)</f>
        <v>7</v>
      </c>
      <c r="I15" s="39"/>
      <c r="J15" s="39"/>
      <c r="K15" s="39"/>
      <c r="L15" s="39"/>
      <c r="M15" s="39"/>
      <c r="N15" s="39"/>
      <c r="O15" s="39"/>
      <c r="P15" s="46" t="str">
        <f>Assumptions!H13</f>
        <v>Depot A</v>
      </c>
      <c r="Q15" s="46" t="str">
        <f>Assumptions!I13</f>
        <v>Depot B</v>
      </c>
      <c r="R15" s="46" t="str">
        <f>Assumptions!J13</f>
        <v>Depot C</v>
      </c>
      <c r="S15" s="46" t="str">
        <f>Assumptions!K13</f>
        <v>Depot D</v>
      </c>
      <c r="T15" s="46" t="str">
        <f>Assumptions!L13</f>
        <v>Depot E</v>
      </c>
      <c r="U15" s="46" t="str">
        <f>Assumptions!M13</f>
        <v>Depot F</v>
      </c>
      <c r="V15" s="46" t="str">
        <f>Assumptions!N13</f>
        <v>Depot G</v>
      </c>
      <c r="W15" s="46" t="str">
        <f>Assumptions!O13</f>
        <v>Depot H</v>
      </c>
      <c r="X15" s="46" t="str">
        <f>Assumptions!P13</f>
        <v>Depot I</v>
      </c>
      <c r="Y15" s="46" t="str">
        <f t="shared" ref="Y15:AG15" si="1">P15</f>
        <v>Depot A</v>
      </c>
      <c r="Z15" s="46" t="str">
        <f t="shared" si="1"/>
        <v>Depot B</v>
      </c>
      <c r="AA15" s="46" t="str">
        <f t="shared" si="1"/>
        <v>Depot C</v>
      </c>
      <c r="AB15" s="46" t="str">
        <f t="shared" si="1"/>
        <v>Depot D</v>
      </c>
      <c r="AC15" s="46" t="str">
        <f t="shared" si="1"/>
        <v>Depot E</v>
      </c>
      <c r="AD15" s="46" t="str">
        <f t="shared" si="1"/>
        <v>Depot F</v>
      </c>
      <c r="AE15" s="46" t="str">
        <f t="shared" si="1"/>
        <v>Depot G</v>
      </c>
      <c r="AF15" s="46" t="str">
        <f t="shared" si="1"/>
        <v>Depot H</v>
      </c>
      <c r="AG15" s="46" t="str">
        <f t="shared" si="1"/>
        <v>Depot I</v>
      </c>
    </row>
    <row r="16" spans="1:33" x14ac:dyDescent="0.2">
      <c r="A16" s="39"/>
      <c r="B16" s="39"/>
      <c r="C16" s="39"/>
      <c r="D16" s="39" t="s">
        <v>64</v>
      </c>
      <c r="E16" s="39" t="s">
        <v>65</v>
      </c>
      <c r="F16" s="39" t="s">
        <v>66</v>
      </c>
      <c r="G16" s="39" t="s">
        <v>69</v>
      </c>
      <c r="H16" s="39" t="s">
        <v>70</v>
      </c>
      <c r="I16" s="39" t="s">
        <v>68</v>
      </c>
      <c r="J16" s="39" t="s">
        <v>75</v>
      </c>
      <c r="K16" s="39" t="s">
        <v>76</v>
      </c>
      <c r="L16" s="39" t="s">
        <v>77</v>
      </c>
      <c r="M16" s="39" t="s">
        <v>74</v>
      </c>
      <c r="N16" s="39" t="s">
        <v>78</v>
      </c>
      <c r="O16" s="39" t="s">
        <v>79</v>
      </c>
      <c r="P16" s="39">
        <f>INDEX(Assumptions!$H$14:$P$23,$H$15,MATCH(P$15,Assumptions!$H$13:$P$13,0))</f>
        <v>2099</v>
      </c>
      <c r="Q16" s="39">
        <f>INDEX(Assumptions!$H$14:$P$23,$H$15,MATCH(Q$15,Assumptions!$H$13:$P$13,0))</f>
        <v>519</v>
      </c>
      <c r="R16" s="39">
        <f>INDEX(Assumptions!$H$14:$P$23,$H$15,MATCH(R$15,Assumptions!$H$13:$P$13,0))</f>
        <v>107</v>
      </c>
      <c r="S16" s="39">
        <f>INDEX(Assumptions!$H$14:$P$23,$H$15,MATCH(S$15,Assumptions!$H$13:$P$13,0))</f>
        <v>333</v>
      </c>
      <c r="T16" s="39">
        <f>INDEX(Assumptions!$H$14:$P$23,$H$15,MATCH(T$15,Assumptions!$H$13:$P$13,0))</f>
        <v>88</v>
      </c>
      <c r="U16" s="39">
        <f>INDEX(Assumptions!$H$14:$P$23,$H$15,MATCH(U$15,Assumptions!$H$13:$P$13,0))</f>
        <v>280</v>
      </c>
      <c r="V16" s="39">
        <f>INDEX(Assumptions!$H$14:$P$23,$H$15,MATCH(V$15,Assumptions!$H$13:$P$13,0))</f>
        <v>567</v>
      </c>
      <c r="W16" s="39">
        <f>INDEX(Assumptions!$H$14:$P$23,$H$15,MATCH(W$15,Assumptions!$H$13:$P$13,0))</f>
        <v>898</v>
      </c>
      <c r="X16" s="39">
        <f>INDEX(Assumptions!$H$14:$P$23,$H$15,MATCH(X$15,Assumptions!$H$13:$P$13,0))</f>
        <v>1087</v>
      </c>
      <c r="Y16" s="39">
        <f>P16-Assumptions!H$27</f>
        <v>-601</v>
      </c>
      <c r="Z16" s="39">
        <f>Q16-Assumptions!I$27</f>
        <v>119</v>
      </c>
      <c r="AA16" s="39">
        <f>R16-Assumptions!J$27</f>
        <v>7</v>
      </c>
      <c r="AB16" s="39">
        <f>S16-Assumptions!K$27</f>
        <v>-67</v>
      </c>
      <c r="AC16" s="39">
        <f>T16-Assumptions!L$27</f>
        <v>-12</v>
      </c>
      <c r="AD16" s="39">
        <f>U16-Assumptions!M$27</f>
        <v>-120</v>
      </c>
      <c r="AE16" s="39">
        <f>V16-Assumptions!N$27</f>
        <v>-33</v>
      </c>
      <c r="AF16" s="39">
        <f>W16-Assumptions!O$27</f>
        <v>198</v>
      </c>
      <c r="AG16" s="39">
        <f>X16-Assumptions!P$27</f>
        <v>187</v>
      </c>
    </row>
    <row r="17" spans="1:33" x14ac:dyDescent="0.2">
      <c r="A17" s="39"/>
      <c r="B17" s="39"/>
      <c r="C17" s="39"/>
      <c r="D17" s="39">
        <v>1</v>
      </c>
      <c r="E17" s="39">
        <v>6</v>
      </c>
      <c r="F17" s="39">
        <f>INDEX(Assumptions!$H$33:$P$41,$D17,$E17)</f>
        <v>285</v>
      </c>
      <c r="G17" s="39" t="str">
        <f>INDEX(Assumptions!$H$15:$P$24,$H$15,$D17)</f>
        <v>Hub 1</v>
      </c>
      <c r="H17" s="39" t="str">
        <f>INDEX(Assumptions!$H$15:$P$24,$H$15,$E17)</f>
        <v>Hub 2</v>
      </c>
      <c r="I17" s="39" t="b">
        <f>G17=H17</f>
        <v>0</v>
      </c>
      <c r="J17" s="39">
        <f>I17*(F17&lt;=Assumptions!$H$51)</f>
        <v>0</v>
      </c>
      <c r="K17" s="39">
        <f>INDEX($Y16:$AG16,$D17)</f>
        <v>-601</v>
      </c>
      <c r="L17" s="39">
        <f>INDEX($Y16:$AG16,$E17)</f>
        <v>-120</v>
      </c>
      <c r="M17" s="39">
        <f>J17*(MAX(K17:L17)&gt;0)*(MIN(K17:L17)&lt;0)</f>
        <v>0</v>
      </c>
      <c r="N17" s="39">
        <f>IF(M17,MIN(ABS(K17),ABS(L17)),0)</f>
        <v>0</v>
      </c>
      <c r="O17" s="39">
        <f>-N17*F17*2*Assumptions!$H$49</f>
        <v>0</v>
      </c>
      <c r="P17" s="39">
        <f t="shared" ref="P17:P52" si="2">IF($M17,IF(OR(P$13=$D17,P$13=$E17),P16-SIGN(Y16)*$N17,P16),P16)</f>
        <v>2099</v>
      </c>
      <c r="Q17" s="39">
        <f t="shared" ref="Q17:Q52" si="3">IF($M17,IF(OR(Q$13=$D17,Q$13=$E17),Q16-SIGN(Z16)*$N17,Q16),Q16)</f>
        <v>519</v>
      </c>
      <c r="R17" s="39">
        <f t="shared" ref="R17:R52" si="4">IF($M17,IF(OR(R$13=$D17,R$13=$E17),R16-SIGN(AA16)*$N17,R16),R16)</f>
        <v>107</v>
      </c>
      <c r="S17" s="39">
        <f t="shared" ref="S17:S52" si="5">IF($M17,IF(OR(S$13=$D17,S$13=$E17),S16-SIGN(AB16)*$N17,S16),S16)</f>
        <v>333</v>
      </c>
      <c r="T17" s="39">
        <f t="shared" ref="T17:T52" si="6">IF($M17,IF(OR(T$13=$D17,T$13=$E17),T16-SIGN(AC16)*$N17,T16),T16)</f>
        <v>88</v>
      </c>
      <c r="U17" s="39">
        <f t="shared" ref="U17:U52" si="7">IF($M17,IF(OR(U$13=$D17,U$13=$E17),U16-SIGN(AD16)*$N17,U16),U16)</f>
        <v>280</v>
      </c>
      <c r="V17" s="39">
        <f t="shared" ref="V17:V52" si="8">IF($M17,IF(OR(V$13=$D17,V$13=$E17),V16-SIGN(AE16)*$N17,V16),V16)</f>
        <v>567</v>
      </c>
      <c r="W17" s="39">
        <f t="shared" ref="W17:W52" si="9">IF($M17,IF(OR(W$13=$D17,W$13=$E17),W16-SIGN(AF16)*$N17,W16),W16)</f>
        <v>898</v>
      </c>
      <c r="X17" s="39">
        <f t="shared" ref="X17:X52" si="10">IF($M17,IF(OR(X$13=$D17,X$13=$E17),X16-SIGN(AG16)*$N17,X16),X16)</f>
        <v>1087</v>
      </c>
      <c r="Y17" s="39">
        <f>P17-Assumptions!H$27</f>
        <v>-601</v>
      </c>
      <c r="Z17" s="39">
        <f>Q17-Assumptions!I$27</f>
        <v>119</v>
      </c>
      <c r="AA17" s="39">
        <f>R17-Assumptions!J$27</f>
        <v>7</v>
      </c>
      <c r="AB17" s="39">
        <f>S17-Assumptions!K$27</f>
        <v>-67</v>
      </c>
      <c r="AC17" s="39">
        <f>T17-Assumptions!L$27</f>
        <v>-12</v>
      </c>
      <c r="AD17" s="39">
        <f>U17-Assumptions!M$27</f>
        <v>-120</v>
      </c>
      <c r="AE17" s="39">
        <f>V17-Assumptions!N$27</f>
        <v>-33</v>
      </c>
      <c r="AF17" s="39">
        <f>W17-Assumptions!O$27</f>
        <v>198</v>
      </c>
      <c r="AG17" s="39">
        <f>X17-Assumptions!P$27</f>
        <v>187</v>
      </c>
    </row>
    <row r="18" spans="1:33" x14ac:dyDescent="0.2">
      <c r="A18" s="39"/>
      <c r="B18" s="39"/>
      <c r="C18" s="39"/>
      <c r="D18" s="39">
        <v>5</v>
      </c>
      <c r="E18" s="39">
        <v>6</v>
      </c>
      <c r="F18" s="39">
        <f>INDEX(Assumptions!$H$33:$P$41,$D18,$E18)</f>
        <v>290</v>
      </c>
      <c r="G18" s="39" t="str">
        <f>INDEX(Assumptions!$H$15:$P$24,$H$15,$D18)</f>
        <v>Hub 2</v>
      </c>
      <c r="H18" s="39" t="str">
        <f>INDEX(Assumptions!$H$15:$P$24,$H$15,$E18)</f>
        <v>Hub 2</v>
      </c>
      <c r="I18" s="39" t="b">
        <f t="shared" ref="I18:I52" si="11">G18=H18</f>
        <v>1</v>
      </c>
      <c r="J18" s="39">
        <f>I18*(F18&lt;=Assumptions!$H$51)</f>
        <v>1</v>
      </c>
      <c r="K18" s="39">
        <f>INDEX($Y17:$AG17,$D18)</f>
        <v>-12</v>
      </c>
      <c r="L18" s="39">
        <f>INDEX($Y17:$AG17,$E18)</f>
        <v>-120</v>
      </c>
      <c r="M18" s="39">
        <f t="shared" ref="M18:M52" si="12">J18*(MAX(K18:L18)&gt;0)*(MIN(K18:L18)&lt;0)</f>
        <v>0</v>
      </c>
      <c r="N18" s="39">
        <f t="shared" ref="N18:N52" si="13">IF(M18,MIN(ABS(K18),ABS(L18)),0)</f>
        <v>0</v>
      </c>
      <c r="O18" s="39">
        <f>-N18*F18*2*Assumptions!$H$49</f>
        <v>0</v>
      </c>
      <c r="P18" s="39">
        <f t="shared" si="2"/>
        <v>2099</v>
      </c>
      <c r="Q18" s="39">
        <f t="shared" si="3"/>
        <v>519</v>
      </c>
      <c r="R18" s="39">
        <f t="shared" si="4"/>
        <v>107</v>
      </c>
      <c r="S18" s="39">
        <f t="shared" si="5"/>
        <v>333</v>
      </c>
      <c r="T18" s="39">
        <f t="shared" si="6"/>
        <v>88</v>
      </c>
      <c r="U18" s="39">
        <f t="shared" si="7"/>
        <v>280</v>
      </c>
      <c r="V18" s="39">
        <f t="shared" si="8"/>
        <v>567</v>
      </c>
      <c r="W18" s="39">
        <f t="shared" si="9"/>
        <v>898</v>
      </c>
      <c r="X18" s="39">
        <f t="shared" si="10"/>
        <v>1087</v>
      </c>
      <c r="Y18" s="39">
        <f>P18-Assumptions!H$27</f>
        <v>-601</v>
      </c>
      <c r="Z18" s="39">
        <f>Q18-Assumptions!I$27</f>
        <v>119</v>
      </c>
      <c r="AA18" s="39">
        <f>R18-Assumptions!J$27</f>
        <v>7</v>
      </c>
      <c r="AB18" s="39">
        <f>S18-Assumptions!K$27</f>
        <v>-67</v>
      </c>
      <c r="AC18" s="39">
        <f>T18-Assumptions!L$27</f>
        <v>-12</v>
      </c>
      <c r="AD18" s="39">
        <f>U18-Assumptions!M$27</f>
        <v>-120</v>
      </c>
      <c r="AE18" s="39">
        <f>V18-Assumptions!N$27</f>
        <v>-33</v>
      </c>
      <c r="AF18" s="39">
        <f>W18-Assumptions!O$27</f>
        <v>198</v>
      </c>
      <c r="AG18" s="39">
        <f>X18-Assumptions!P$27</f>
        <v>187</v>
      </c>
    </row>
    <row r="19" spans="1:33" x14ac:dyDescent="0.2">
      <c r="A19" s="39"/>
      <c r="B19" s="39"/>
      <c r="C19" s="39"/>
      <c r="D19" s="39">
        <v>1</v>
      </c>
      <c r="E19" s="39">
        <v>4</v>
      </c>
      <c r="F19" s="39">
        <f>INDEX(Assumptions!$H$33:$P$41,$D19,$E19)</f>
        <v>297</v>
      </c>
      <c r="G19" s="39" t="str">
        <f>INDEX(Assumptions!$H$15:$P$24,$H$15,$D19)</f>
        <v>Hub 1</v>
      </c>
      <c r="H19" s="39" t="str">
        <f>INDEX(Assumptions!$H$15:$P$24,$H$15,$E19)</f>
        <v>Hub 2</v>
      </c>
      <c r="I19" s="39" t="b">
        <f t="shared" si="11"/>
        <v>0</v>
      </c>
      <c r="J19" s="39">
        <f>I19*(F19&lt;=Assumptions!$H$51)</f>
        <v>0</v>
      </c>
      <c r="K19" s="39">
        <f>INDEX($Y18:$AG18,$D19)</f>
        <v>-601</v>
      </c>
      <c r="L19" s="39">
        <f>INDEX($Y18:$AG18,$E19)</f>
        <v>-67</v>
      </c>
      <c r="M19" s="39">
        <f t="shared" si="12"/>
        <v>0</v>
      </c>
      <c r="N19" s="39">
        <f t="shared" si="13"/>
        <v>0</v>
      </c>
      <c r="O19" s="39">
        <f>-N19*F19*2*Assumptions!$H$49</f>
        <v>0</v>
      </c>
      <c r="P19" s="39">
        <f t="shared" si="2"/>
        <v>2099</v>
      </c>
      <c r="Q19" s="39">
        <f t="shared" si="3"/>
        <v>519</v>
      </c>
      <c r="R19" s="39">
        <f t="shared" si="4"/>
        <v>107</v>
      </c>
      <c r="S19" s="39">
        <f t="shared" si="5"/>
        <v>333</v>
      </c>
      <c r="T19" s="39">
        <f t="shared" si="6"/>
        <v>88</v>
      </c>
      <c r="U19" s="39">
        <f t="shared" si="7"/>
        <v>280</v>
      </c>
      <c r="V19" s="39">
        <f t="shared" si="8"/>
        <v>567</v>
      </c>
      <c r="W19" s="39">
        <f t="shared" si="9"/>
        <v>898</v>
      </c>
      <c r="X19" s="39">
        <f t="shared" si="10"/>
        <v>1087</v>
      </c>
      <c r="Y19" s="39">
        <f>P19-Assumptions!H$27</f>
        <v>-601</v>
      </c>
      <c r="Z19" s="39">
        <f>Q19-Assumptions!I$27</f>
        <v>119</v>
      </c>
      <c r="AA19" s="39">
        <f>R19-Assumptions!J$27</f>
        <v>7</v>
      </c>
      <c r="AB19" s="39">
        <f>S19-Assumptions!K$27</f>
        <v>-67</v>
      </c>
      <c r="AC19" s="39">
        <f>T19-Assumptions!L$27</f>
        <v>-12</v>
      </c>
      <c r="AD19" s="39">
        <f>U19-Assumptions!M$27</f>
        <v>-120</v>
      </c>
      <c r="AE19" s="39">
        <f>V19-Assumptions!N$27</f>
        <v>-33</v>
      </c>
      <c r="AF19" s="39">
        <f>W19-Assumptions!O$27</f>
        <v>198</v>
      </c>
      <c r="AG19" s="39">
        <f>X19-Assumptions!P$27</f>
        <v>187</v>
      </c>
    </row>
    <row r="20" spans="1:33" x14ac:dyDescent="0.2">
      <c r="A20" s="39"/>
      <c r="B20" s="39"/>
      <c r="C20" s="39"/>
      <c r="D20" s="39">
        <v>8</v>
      </c>
      <c r="E20" s="39">
        <v>9</v>
      </c>
      <c r="F20" s="39">
        <f>INDEX(Assumptions!$H$33:$P$41,$D20,$E20)</f>
        <v>319.66000000000003</v>
      </c>
      <c r="G20" s="39" t="str">
        <f>INDEX(Assumptions!$H$15:$P$24,$H$15,$D20)</f>
        <v>Hub 3</v>
      </c>
      <c r="H20" s="39" t="str">
        <f>INDEX(Assumptions!$H$15:$P$24,$H$15,$E20)</f>
        <v>Hub 3</v>
      </c>
      <c r="I20" s="39" t="b">
        <f t="shared" si="11"/>
        <v>1</v>
      </c>
      <c r="J20" s="39">
        <f>I20*(F20&lt;=Assumptions!$H$51)</f>
        <v>1</v>
      </c>
      <c r="K20" s="39">
        <f>INDEX($Y19:$AG19,$D20)</f>
        <v>198</v>
      </c>
      <c r="L20" s="39">
        <f>INDEX($Y19:$AG19,$E20)</f>
        <v>187</v>
      </c>
      <c r="M20" s="39">
        <f t="shared" si="12"/>
        <v>0</v>
      </c>
      <c r="N20" s="39">
        <f t="shared" si="13"/>
        <v>0</v>
      </c>
      <c r="O20" s="39">
        <f>-N20*F20*2*Assumptions!$H$49</f>
        <v>0</v>
      </c>
      <c r="P20" s="39">
        <f t="shared" si="2"/>
        <v>2099</v>
      </c>
      <c r="Q20" s="39">
        <f t="shared" si="3"/>
        <v>519</v>
      </c>
      <c r="R20" s="39">
        <f t="shared" si="4"/>
        <v>107</v>
      </c>
      <c r="S20" s="39">
        <f t="shared" si="5"/>
        <v>333</v>
      </c>
      <c r="T20" s="39">
        <f t="shared" si="6"/>
        <v>88</v>
      </c>
      <c r="U20" s="39">
        <f t="shared" si="7"/>
        <v>280</v>
      </c>
      <c r="V20" s="39">
        <f t="shared" si="8"/>
        <v>567</v>
      </c>
      <c r="W20" s="39">
        <f t="shared" si="9"/>
        <v>898</v>
      </c>
      <c r="X20" s="39">
        <f t="shared" si="10"/>
        <v>1087</v>
      </c>
      <c r="Y20" s="39">
        <f>P20-Assumptions!H$27</f>
        <v>-601</v>
      </c>
      <c r="Z20" s="39">
        <f>Q20-Assumptions!I$27</f>
        <v>119</v>
      </c>
      <c r="AA20" s="39">
        <f>R20-Assumptions!J$27</f>
        <v>7</v>
      </c>
      <c r="AB20" s="39">
        <f>S20-Assumptions!K$27</f>
        <v>-67</v>
      </c>
      <c r="AC20" s="39">
        <f>T20-Assumptions!L$27</f>
        <v>-12</v>
      </c>
      <c r="AD20" s="39">
        <f>U20-Assumptions!M$27</f>
        <v>-120</v>
      </c>
      <c r="AE20" s="39">
        <f>V20-Assumptions!N$27</f>
        <v>-33</v>
      </c>
      <c r="AF20" s="39">
        <f>W20-Assumptions!O$27</f>
        <v>198</v>
      </c>
      <c r="AG20" s="39">
        <f>X20-Assumptions!P$27</f>
        <v>187</v>
      </c>
    </row>
    <row r="21" spans="1:33" x14ac:dyDescent="0.2">
      <c r="A21" s="39"/>
      <c r="B21" s="39"/>
      <c r="C21" s="39"/>
      <c r="D21" s="39">
        <v>4</v>
      </c>
      <c r="E21" s="39">
        <v>6</v>
      </c>
      <c r="F21" s="39">
        <f>INDEX(Assumptions!$H$33:$P$41,$D21,$E21)</f>
        <v>330</v>
      </c>
      <c r="G21" s="39" t="str">
        <f>INDEX(Assumptions!$H$15:$P$24,$H$15,$D21)</f>
        <v>Hub 2</v>
      </c>
      <c r="H21" s="39" t="str">
        <f>INDEX(Assumptions!$H$15:$P$24,$H$15,$E21)</f>
        <v>Hub 2</v>
      </c>
      <c r="I21" s="39" t="b">
        <f t="shared" si="11"/>
        <v>1</v>
      </c>
      <c r="J21" s="39">
        <f>I21*(F21&lt;=Assumptions!$H$51)</f>
        <v>1</v>
      </c>
      <c r="K21" s="39">
        <f>INDEX($Y20:$AG20,$D21)</f>
        <v>-67</v>
      </c>
      <c r="L21" s="39">
        <f>INDEX($Y20:$AG20,$E21)</f>
        <v>-120</v>
      </c>
      <c r="M21" s="39">
        <f t="shared" si="12"/>
        <v>0</v>
      </c>
      <c r="N21" s="39">
        <f t="shared" si="13"/>
        <v>0</v>
      </c>
      <c r="O21" s="39">
        <f>-N21*F21*2*Assumptions!$H$49</f>
        <v>0</v>
      </c>
      <c r="P21" s="39">
        <f t="shared" si="2"/>
        <v>2099</v>
      </c>
      <c r="Q21" s="39">
        <f t="shared" si="3"/>
        <v>519</v>
      </c>
      <c r="R21" s="39">
        <f t="shared" si="4"/>
        <v>107</v>
      </c>
      <c r="S21" s="39">
        <f t="shared" si="5"/>
        <v>333</v>
      </c>
      <c r="T21" s="39">
        <f t="shared" si="6"/>
        <v>88</v>
      </c>
      <c r="U21" s="39">
        <f t="shared" si="7"/>
        <v>280</v>
      </c>
      <c r="V21" s="39">
        <f t="shared" si="8"/>
        <v>567</v>
      </c>
      <c r="W21" s="39">
        <f t="shared" si="9"/>
        <v>898</v>
      </c>
      <c r="X21" s="39">
        <f t="shared" si="10"/>
        <v>1087</v>
      </c>
      <c r="Y21" s="39">
        <f>P21-Assumptions!H$27</f>
        <v>-601</v>
      </c>
      <c r="Z21" s="39">
        <f>Q21-Assumptions!I$27</f>
        <v>119</v>
      </c>
      <c r="AA21" s="39">
        <f>R21-Assumptions!J$27</f>
        <v>7</v>
      </c>
      <c r="AB21" s="39">
        <f>S21-Assumptions!K$27</f>
        <v>-67</v>
      </c>
      <c r="AC21" s="39">
        <f>T21-Assumptions!L$27</f>
        <v>-12</v>
      </c>
      <c r="AD21" s="39">
        <f>U21-Assumptions!M$27</f>
        <v>-120</v>
      </c>
      <c r="AE21" s="39">
        <f>V21-Assumptions!N$27</f>
        <v>-33</v>
      </c>
      <c r="AF21" s="39">
        <f>W21-Assumptions!O$27</f>
        <v>198</v>
      </c>
      <c r="AG21" s="39">
        <f>X21-Assumptions!P$27</f>
        <v>187</v>
      </c>
    </row>
    <row r="22" spans="1:33" x14ac:dyDescent="0.2">
      <c r="A22" s="39"/>
      <c r="B22" s="39"/>
      <c r="C22" s="39"/>
      <c r="D22" s="39">
        <v>3</v>
      </c>
      <c r="E22" s="39">
        <v>4</v>
      </c>
      <c r="F22" s="39">
        <f>INDEX(Assumptions!$H$33:$P$41,$D22,$E22)</f>
        <v>340</v>
      </c>
      <c r="G22" s="39" t="str">
        <f>INDEX(Assumptions!$H$15:$P$24,$H$15,$D22)</f>
        <v>Hub 1</v>
      </c>
      <c r="H22" s="39" t="str">
        <f>INDEX(Assumptions!$H$15:$P$24,$H$15,$E22)</f>
        <v>Hub 2</v>
      </c>
      <c r="I22" s="39" t="b">
        <f t="shared" si="11"/>
        <v>0</v>
      </c>
      <c r="J22" s="39">
        <f>I22*(F22&lt;=Assumptions!$H$51)</f>
        <v>0</v>
      </c>
      <c r="K22" s="39">
        <f>INDEX($Y21:$AG21,$D22)</f>
        <v>7</v>
      </c>
      <c r="L22" s="39">
        <f>INDEX($Y21:$AG21,$E22)</f>
        <v>-67</v>
      </c>
      <c r="M22" s="39">
        <f t="shared" si="12"/>
        <v>0</v>
      </c>
      <c r="N22" s="39">
        <f t="shared" si="13"/>
        <v>0</v>
      </c>
      <c r="O22" s="39">
        <f>-N22*F22*2*Assumptions!$H$49</f>
        <v>0</v>
      </c>
      <c r="P22" s="39">
        <f t="shared" si="2"/>
        <v>2099</v>
      </c>
      <c r="Q22" s="39">
        <f t="shared" si="3"/>
        <v>519</v>
      </c>
      <c r="R22" s="39">
        <f t="shared" si="4"/>
        <v>107</v>
      </c>
      <c r="S22" s="39">
        <f t="shared" si="5"/>
        <v>333</v>
      </c>
      <c r="T22" s="39">
        <f t="shared" si="6"/>
        <v>88</v>
      </c>
      <c r="U22" s="39">
        <f t="shared" si="7"/>
        <v>280</v>
      </c>
      <c r="V22" s="39">
        <f t="shared" si="8"/>
        <v>567</v>
      </c>
      <c r="W22" s="39">
        <f t="shared" si="9"/>
        <v>898</v>
      </c>
      <c r="X22" s="39">
        <f t="shared" si="10"/>
        <v>1087</v>
      </c>
      <c r="Y22" s="39">
        <f>P22-Assumptions!H$27</f>
        <v>-601</v>
      </c>
      <c r="Z22" s="39">
        <f>Q22-Assumptions!I$27</f>
        <v>119</v>
      </c>
      <c r="AA22" s="39">
        <f>R22-Assumptions!J$27</f>
        <v>7</v>
      </c>
      <c r="AB22" s="39">
        <f>S22-Assumptions!K$27</f>
        <v>-67</v>
      </c>
      <c r="AC22" s="39">
        <f>T22-Assumptions!L$27</f>
        <v>-12</v>
      </c>
      <c r="AD22" s="39">
        <f>U22-Assumptions!M$27</f>
        <v>-120</v>
      </c>
      <c r="AE22" s="39">
        <f>V22-Assumptions!N$27</f>
        <v>-33</v>
      </c>
      <c r="AF22" s="39">
        <f>W22-Assumptions!O$27</f>
        <v>198</v>
      </c>
      <c r="AG22" s="39">
        <f>X22-Assumptions!P$27</f>
        <v>187</v>
      </c>
    </row>
    <row r="23" spans="1:33" x14ac:dyDescent="0.2">
      <c r="A23" s="39"/>
      <c r="B23" s="39"/>
      <c r="C23" s="39"/>
      <c r="D23" s="39">
        <v>6</v>
      </c>
      <c r="E23" s="39">
        <v>7</v>
      </c>
      <c r="F23" s="39">
        <f>INDEX(Assumptions!$H$33:$P$41,$D23,$E23)</f>
        <v>341</v>
      </c>
      <c r="G23" s="39" t="str">
        <f>INDEX(Assumptions!$H$15:$P$24,$H$15,$D23)</f>
        <v>Hub 2</v>
      </c>
      <c r="H23" s="39" t="str">
        <f>INDEX(Assumptions!$H$15:$P$24,$H$15,$E23)</f>
        <v>Hub 3</v>
      </c>
      <c r="I23" s="39" t="b">
        <f t="shared" si="11"/>
        <v>0</v>
      </c>
      <c r="J23" s="39">
        <f>I23*(F23&lt;=Assumptions!$H$51)</f>
        <v>0</v>
      </c>
      <c r="K23" s="39">
        <f>INDEX($Y22:$AG22,$D23)</f>
        <v>-120</v>
      </c>
      <c r="L23" s="39">
        <f>INDEX($Y22:$AG22,$E23)</f>
        <v>-33</v>
      </c>
      <c r="M23" s="39">
        <f t="shared" si="12"/>
        <v>0</v>
      </c>
      <c r="N23" s="39">
        <f t="shared" si="13"/>
        <v>0</v>
      </c>
      <c r="O23" s="39">
        <f>-N23*F23*2*Assumptions!$H$49</f>
        <v>0</v>
      </c>
      <c r="P23" s="39">
        <f t="shared" si="2"/>
        <v>2099</v>
      </c>
      <c r="Q23" s="39">
        <f t="shared" si="3"/>
        <v>519</v>
      </c>
      <c r="R23" s="39">
        <f t="shared" si="4"/>
        <v>107</v>
      </c>
      <c r="S23" s="39">
        <f t="shared" si="5"/>
        <v>333</v>
      </c>
      <c r="T23" s="39">
        <f t="shared" si="6"/>
        <v>88</v>
      </c>
      <c r="U23" s="39">
        <f t="shared" si="7"/>
        <v>280</v>
      </c>
      <c r="V23" s="39">
        <f t="shared" si="8"/>
        <v>567</v>
      </c>
      <c r="W23" s="39">
        <f t="shared" si="9"/>
        <v>898</v>
      </c>
      <c r="X23" s="39">
        <f t="shared" si="10"/>
        <v>1087</v>
      </c>
      <c r="Y23" s="39">
        <f>P23-Assumptions!H$27</f>
        <v>-601</v>
      </c>
      <c r="Z23" s="39">
        <f>Q23-Assumptions!I$27</f>
        <v>119</v>
      </c>
      <c r="AA23" s="39">
        <f>R23-Assumptions!J$27</f>
        <v>7</v>
      </c>
      <c r="AB23" s="39">
        <f>S23-Assumptions!K$27</f>
        <v>-67</v>
      </c>
      <c r="AC23" s="39">
        <f>T23-Assumptions!L$27</f>
        <v>-12</v>
      </c>
      <c r="AD23" s="39">
        <f>U23-Assumptions!M$27</f>
        <v>-120</v>
      </c>
      <c r="AE23" s="39">
        <f>V23-Assumptions!N$27</f>
        <v>-33</v>
      </c>
      <c r="AF23" s="39">
        <f>W23-Assumptions!O$27</f>
        <v>198</v>
      </c>
      <c r="AG23" s="39">
        <f>X23-Assumptions!P$27</f>
        <v>187</v>
      </c>
    </row>
    <row r="24" spans="1:33" x14ac:dyDescent="0.2">
      <c r="A24" s="39"/>
      <c r="B24" s="39"/>
      <c r="C24" s="39"/>
      <c r="D24" s="39">
        <v>4</v>
      </c>
      <c r="E24" s="39">
        <v>5</v>
      </c>
      <c r="F24" s="39">
        <f>INDEX(Assumptions!$H$33:$P$41,$D24,$E24)</f>
        <v>362.22</v>
      </c>
      <c r="G24" s="39" t="str">
        <f>INDEX(Assumptions!$H$15:$P$24,$H$15,$D24)</f>
        <v>Hub 2</v>
      </c>
      <c r="H24" s="39" t="str">
        <f>INDEX(Assumptions!$H$15:$P$24,$H$15,$E24)</f>
        <v>Hub 2</v>
      </c>
      <c r="I24" s="39" t="b">
        <f t="shared" si="11"/>
        <v>1</v>
      </c>
      <c r="J24" s="39">
        <f>I24*(F24&lt;=Assumptions!$H$51)</f>
        <v>1</v>
      </c>
      <c r="K24" s="39">
        <f>INDEX($Y23:$AG23,$D24)</f>
        <v>-67</v>
      </c>
      <c r="L24" s="39">
        <f>INDEX($Y23:$AG23,$E24)</f>
        <v>-12</v>
      </c>
      <c r="M24" s="39">
        <f t="shared" si="12"/>
        <v>0</v>
      </c>
      <c r="N24" s="39">
        <f t="shared" si="13"/>
        <v>0</v>
      </c>
      <c r="O24" s="39">
        <f>-N24*F24*2*Assumptions!$H$49</f>
        <v>0</v>
      </c>
      <c r="P24" s="39">
        <f t="shared" si="2"/>
        <v>2099</v>
      </c>
      <c r="Q24" s="39">
        <f t="shared" si="3"/>
        <v>519</v>
      </c>
      <c r="R24" s="39">
        <f t="shared" si="4"/>
        <v>107</v>
      </c>
      <c r="S24" s="39">
        <f t="shared" si="5"/>
        <v>333</v>
      </c>
      <c r="T24" s="39">
        <f t="shared" si="6"/>
        <v>88</v>
      </c>
      <c r="U24" s="39">
        <f t="shared" si="7"/>
        <v>280</v>
      </c>
      <c r="V24" s="39">
        <f t="shared" si="8"/>
        <v>567</v>
      </c>
      <c r="W24" s="39">
        <f t="shared" si="9"/>
        <v>898</v>
      </c>
      <c r="X24" s="39">
        <f t="shared" si="10"/>
        <v>1087</v>
      </c>
      <c r="Y24" s="39">
        <f>P24-Assumptions!H$27</f>
        <v>-601</v>
      </c>
      <c r="Z24" s="39">
        <f>Q24-Assumptions!I$27</f>
        <v>119</v>
      </c>
      <c r="AA24" s="39">
        <f>R24-Assumptions!J$27</f>
        <v>7</v>
      </c>
      <c r="AB24" s="39">
        <f>S24-Assumptions!K$27</f>
        <v>-67</v>
      </c>
      <c r="AC24" s="39">
        <f>T24-Assumptions!L$27</f>
        <v>-12</v>
      </c>
      <c r="AD24" s="39">
        <f>U24-Assumptions!M$27</f>
        <v>-120</v>
      </c>
      <c r="AE24" s="39">
        <f>V24-Assumptions!N$27</f>
        <v>-33</v>
      </c>
      <c r="AF24" s="39">
        <f>W24-Assumptions!O$27</f>
        <v>198</v>
      </c>
      <c r="AG24" s="39">
        <f>X24-Assumptions!P$27</f>
        <v>187</v>
      </c>
    </row>
    <row r="25" spans="1:33" x14ac:dyDescent="0.2">
      <c r="A25" s="39"/>
      <c r="B25" s="39"/>
      <c r="C25" s="39"/>
      <c r="D25" s="39">
        <v>2</v>
      </c>
      <c r="E25" s="39">
        <v>3</v>
      </c>
      <c r="F25" s="39">
        <f>INDEX(Assumptions!$H$33:$P$41,$D25,$E25)</f>
        <v>381.49</v>
      </c>
      <c r="G25" s="39" t="str">
        <f>INDEX(Assumptions!$H$15:$P$24,$H$15,$D25)</f>
        <v>Hub 1</v>
      </c>
      <c r="H25" s="39" t="str">
        <f>INDEX(Assumptions!$H$15:$P$24,$H$15,$E25)</f>
        <v>Hub 1</v>
      </c>
      <c r="I25" s="39" t="b">
        <f t="shared" si="11"/>
        <v>1</v>
      </c>
      <c r="J25" s="39">
        <f>I25*(F25&lt;=Assumptions!$H$51)</f>
        <v>1</v>
      </c>
      <c r="K25" s="39">
        <f>INDEX($Y24:$AG24,$D25)</f>
        <v>119</v>
      </c>
      <c r="L25" s="39">
        <f>INDEX($Y24:$AG24,$E25)</f>
        <v>7</v>
      </c>
      <c r="M25" s="39">
        <f t="shared" si="12"/>
        <v>0</v>
      </c>
      <c r="N25" s="39">
        <f t="shared" si="13"/>
        <v>0</v>
      </c>
      <c r="O25" s="39">
        <f>-N25*F25*2*Assumptions!$H$49</f>
        <v>0</v>
      </c>
      <c r="P25" s="39">
        <f t="shared" si="2"/>
        <v>2099</v>
      </c>
      <c r="Q25" s="39">
        <f t="shared" si="3"/>
        <v>519</v>
      </c>
      <c r="R25" s="39">
        <f t="shared" si="4"/>
        <v>107</v>
      </c>
      <c r="S25" s="39">
        <f t="shared" si="5"/>
        <v>333</v>
      </c>
      <c r="T25" s="39">
        <f t="shared" si="6"/>
        <v>88</v>
      </c>
      <c r="U25" s="39">
        <f t="shared" si="7"/>
        <v>280</v>
      </c>
      <c r="V25" s="39">
        <f t="shared" si="8"/>
        <v>567</v>
      </c>
      <c r="W25" s="39">
        <f t="shared" si="9"/>
        <v>898</v>
      </c>
      <c r="X25" s="39">
        <f t="shared" si="10"/>
        <v>1087</v>
      </c>
      <c r="Y25" s="39">
        <f>P25-Assumptions!H$27</f>
        <v>-601</v>
      </c>
      <c r="Z25" s="39">
        <f>Q25-Assumptions!I$27</f>
        <v>119</v>
      </c>
      <c r="AA25" s="39">
        <f>R25-Assumptions!J$27</f>
        <v>7</v>
      </c>
      <c r="AB25" s="39">
        <f>S25-Assumptions!K$27</f>
        <v>-67</v>
      </c>
      <c r="AC25" s="39">
        <f>T25-Assumptions!L$27</f>
        <v>-12</v>
      </c>
      <c r="AD25" s="39">
        <f>U25-Assumptions!M$27</f>
        <v>-120</v>
      </c>
      <c r="AE25" s="39">
        <f>V25-Assumptions!N$27</f>
        <v>-33</v>
      </c>
      <c r="AF25" s="39">
        <f>W25-Assumptions!O$27</f>
        <v>198</v>
      </c>
      <c r="AG25" s="39">
        <f>X25-Assumptions!P$27</f>
        <v>187</v>
      </c>
    </row>
    <row r="26" spans="1:33" x14ac:dyDescent="0.2">
      <c r="A26" s="39"/>
      <c r="B26" s="39"/>
      <c r="C26" s="39"/>
      <c r="D26" s="39">
        <v>1</v>
      </c>
      <c r="E26" s="39">
        <v>3</v>
      </c>
      <c r="F26" s="39">
        <f>INDEX(Assumptions!$H$33:$P$41,$D26,$E26)</f>
        <v>417</v>
      </c>
      <c r="G26" s="39" t="str">
        <f>INDEX(Assumptions!$H$15:$P$24,$H$15,$D26)</f>
        <v>Hub 1</v>
      </c>
      <c r="H26" s="39" t="str">
        <f>INDEX(Assumptions!$H$15:$P$24,$H$15,$E26)</f>
        <v>Hub 1</v>
      </c>
      <c r="I26" s="39" t="b">
        <f t="shared" si="11"/>
        <v>1</v>
      </c>
      <c r="J26" s="39">
        <f>I26*(F26&lt;=Assumptions!$H$51)</f>
        <v>1</v>
      </c>
      <c r="K26" s="39">
        <f>INDEX($Y25:$AG25,$D26)</f>
        <v>-601</v>
      </c>
      <c r="L26" s="39">
        <f>INDEX($Y25:$AG25,$E26)</f>
        <v>7</v>
      </c>
      <c r="M26" s="39">
        <f t="shared" si="12"/>
        <v>1</v>
      </c>
      <c r="N26" s="39">
        <f t="shared" si="13"/>
        <v>7</v>
      </c>
      <c r="O26" s="39">
        <f>-N26*F26*2*Assumptions!$H$49</f>
        <v>-8173.2</v>
      </c>
      <c r="P26" s="39">
        <f t="shared" si="2"/>
        <v>2106</v>
      </c>
      <c r="Q26" s="39">
        <f t="shared" si="3"/>
        <v>519</v>
      </c>
      <c r="R26" s="39">
        <f t="shared" si="4"/>
        <v>100</v>
      </c>
      <c r="S26" s="39">
        <f t="shared" si="5"/>
        <v>333</v>
      </c>
      <c r="T26" s="39">
        <f t="shared" si="6"/>
        <v>88</v>
      </c>
      <c r="U26" s="39">
        <f t="shared" si="7"/>
        <v>280</v>
      </c>
      <c r="V26" s="39">
        <f t="shared" si="8"/>
        <v>567</v>
      </c>
      <c r="W26" s="39">
        <f t="shared" si="9"/>
        <v>898</v>
      </c>
      <c r="X26" s="39">
        <f t="shared" si="10"/>
        <v>1087</v>
      </c>
      <c r="Y26" s="39">
        <f>P26-Assumptions!H$27</f>
        <v>-594</v>
      </c>
      <c r="Z26" s="39">
        <f>Q26-Assumptions!I$27</f>
        <v>119</v>
      </c>
      <c r="AA26" s="39">
        <f>R26-Assumptions!J$27</f>
        <v>0</v>
      </c>
      <c r="AB26" s="39">
        <f>S26-Assumptions!K$27</f>
        <v>-67</v>
      </c>
      <c r="AC26" s="39">
        <f>T26-Assumptions!L$27</f>
        <v>-12</v>
      </c>
      <c r="AD26" s="39">
        <f>U26-Assumptions!M$27</f>
        <v>-120</v>
      </c>
      <c r="AE26" s="39">
        <f>V26-Assumptions!N$27</f>
        <v>-33</v>
      </c>
      <c r="AF26" s="39">
        <f>W26-Assumptions!O$27</f>
        <v>198</v>
      </c>
      <c r="AG26" s="39">
        <f>X26-Assumptions!P$27</f>
        <v>187</v>
      </c>
    </row>
    <row r="27" spans="1:33" x14ac:dyDescent="0.2">
      <c r="A27" s="39"/>
      <c r="B27" s="39"/>
      <c r="C27" s="39"/>
      <c r="D27" s="39">
        <v>2</v>
      </c>
      <c r="E27" s="39">
        <v>9</v>
      </c>
      <c r="F27" s="39">
        <f>INDEX(Assumptions!$H$33:$P$41,$D27,$E27)</f>
        <v>477.25</v>
      </c>
      <c r="G27" s="39" t="str">
        <f>INDEX(Assumptions!$H$15:$P$24,$H$15,$D27)</f>
        <v>Hub 1</v>
      </c>
      <c r="H27" s="39" t="str">
        <f>INDEX(Assumptions!$H$15:$P$24,$H$15,$E27)</f>
        <v>Hub 3</v>
      </c>
      <c r="I27" s="39" t="b">
        <f t="shared" si="11"/>
        <v>0</v>
      </c>
      <c r="J27" s="39">
        <f>I27*(F27&lt;=Assumptions!$H$51)</f>
        <v>0</v>
      </c>
      <c r="K27" s="39">
        <f>INDEX($Y26:$AG26,$D27)</f>
        <v>119</v>
      </c>
      <c r="L27" s="39">
        <f>INDEX($Y26:$AG26,$E27)</f>
        <v>187</v>
      </c>
      <c r="M27" s="39">
        <f t="shared" si="12"/>
        <v>0</v>
      </c>
      <c r="N27" s="39">
        <f t="shared" si="13"/>
        <v>0</v>
      </c>
      <c r="O27" s="39">
        <f>-N27*F27*2*Assumptions!$H$49</f>
        <v>0</v>
      </c>
      <c r="P27" s="39">
        <f t="shared" si="2"/>
        <v>2106</v>
      </c>
      <c r="Q27" s="39">
        <f t="shared" si="3"/>
        <v>519</v>
      </c>
      <c r="R27" s="39">
        <f t="shared" si="4"/>
        <v>100</v>
      </c>
      <c r="S27" s="39">
        <f t="shared" si="5"/>
        <v>333</v>
      </c>
      <c r="T27" s="39">
        <f t="shared" si="6"/>
        <v>88</v>
      </c>
      <c r="U27" s="39">
        <f t="shared" si="7"/>
        <v>280</v>
      </c>
      <c r="V27" s="39">
        <f t="shared" si="8"/>
        <v>567</v>
      </c>
      <c r="W27" s="39">
        <f t="shared" si="9"/>
        <v>898</v>
      </c>
      <c r="X27" s="39">
        <f t="shared" si="10"/>
        <v>1087</v>
      </c>
      <c r="Y27" s="39">
        <f>P27-Assumptions!H$27</f>
        <v>-594</v>
      </c>
      <c r="Z27" s="39">
        <f>Q27-Assumptions!I$27</f>
        <v>119</v>
      </c>
      <c r="AA27" s="39">
        <f>R27-Assumptions!J$27</f>
        <v>0</v>
      </c>
      <c r="AB27" s="39">
        <f>S27-Assumptions!K$27</f>
        <v>-67</v>
      </c>
      <c r="AC27" s="39">
        <f>T27-Assumptions!L$27</f>
        <v>-12</v>
      </c>
      <c r="AD27" s="39">
        <f>U27-Assumptions!M$27</f>
        <v>-120</v>
      </c>
      <c r="AE27" s="39">
        <f>V27-Assumptions!N$27</f>
        <v>-33</v>
      </c>
      <c r="AF27" s="39">
        <f>W27-Assumptions!O$27</f>
        <v>198</v>
      </c>
      <c r="AG27" s="39">
        <f>X27-Assumptions!P$27</f>
        <v>187</v>
      </c>
    </row>
    <row r="28" spans="1:33" x14ac:dyDescent="0.2">
      <c r="A28" s="39"/>
      <c r="B28" s="39"/>
      <c r="C28" s="39"/>
      <c r="D28" s="39">
        <v>1</v>
      </c>
      <c r="E28" s="39">
        <v>2</v>
      </c>
      <c r="F28" s="39">
        <f>INDEX(Assumptions!$H$33:$P$41,$D28,$E28)</f>
        <v>482</v>
      </c>
      <c r="G28" s="39" t="str">
        <f>INDEX(Assumptions!$H$15:$P$24,$H$15,$D28)</f>
        <v>Hub 1</v>
      </c>
      <c r="H28" s="39" t="str">
        <f>INDEX(Assumptions!$H$15:$P$24,$H$15,$E28)</f>
        <v>Hub 1</v>
      </c>
      <c r="I28" s="39" t="b">
        <f t="shared" si="11"/>
        <v>1</v>
      </c>
      <c r="J28" s="39">
        <f>I28*(F28&lt;=Assumptions!$H$51)</f>
        <v>1</v>
      </c>
      <c r="K28" s="39">
        <f>INDEX($Y27:$AG27,$D28)</f>
        <v>-594</v>
      </c>
      <c r="L28" s="39">
        <f>INDEX($Y27:$AG27,$E28)</f>
        <v>119</v>
      </c>
      <c r="M28" s="39">
        <f t="shared" si="12"/>
        <v>1</v>
      </c>
      <c r="N28" s="39">
        <f t="shared" si="13"/>
        <v>119</v>
      </c>
      <c r="O28" s="39">
        <f>-N28*F28*2*Assumptions!$H$49</f>
        <v>-160602.4</v>
      </c>
      <c r="P28" s="39">
        <f t="shared" si="2"/>
        <v>2225</v>
      </c>
      <c r="Q28" s="39">
        <f t="shared" si="3"/>
        <v>400</v>
      </c>
      <c r="R28" s="39">
        <f t="shared" si="4"/>
        <v>100</v>
      </c>
      <c r="S28" s="39">
        <f t="shared" si="5"/>
        <v>333</v>
      </c>
      <c r="T28" s="39">
        <f t="shared" si="6"/>
        <v>88</v>
      </c>
      <c r="U28" s="39">
        <f t="shared" si="7"/>
        <v>280</v>
      </c>
      <c r="V28" s="39">
        <f t="shared" si="8"/>
        <v>567</v>
      </c>
      <c r="W28" s="39">
        <f t="shared" si="9"/>
        <v>898</v>
      </c>
      <c r="X28" s="39">
        <f t="shared" si="10"/>
        <v>1087</v>
      </c>
      <c r="Y28" s="39">
        <f>P28-Assumptions!H$27</f>
        <v>-475</v>
      </c>
      <c r="Z28" s="39">
        <f>Q28-Assumptions!I$27</f>
        <v>0</v>
      </c>
      <c r="AA28" s="39">
        <f>R28-Assumptions!J$27</f>
        <v>0</v>
      </c>
      <c r="AB28" s="39">
        <f>S28-Assumptions!K$27</f>
        <v>-67</v>
      </c>
      <c r="AC28" s="39">
        <f>T28-Assumptions!L$27</f>
        <v>-12</v>
      </c>
      <c r="AD28" s="39">
        <f>U28-Assumptions!M$27</f>
        <v>-120</v>
      </c>
      <c r="AE28" s="39">
        <f>V28-Assumptions!N$27</f>
        <v>-33</v>
      </c>
      <c r="AF28" s="39">
        <f>W28-Assumptions!O$27</f>
        <v>198</v>
      </c>
      <c r="AG28" s="39">
        <f>X28-Assumptions!P$27</f>
        <v>187</v>
      </c>
    </row>
    <row r="29" spans="1:33" x14ac:dyDescent="0.2">
      <c r="A29" s="39"/>
      <c r="B29" s="39"/>
      <c r="C29" s="39"/>
      <c r="D29" s="39">
        <v>1</v>
      </c>
      <c r="E29" s="39">
        <v>8</v>
      </c>
      <c r="F29" s="39">
        <f>INDEX(Assumptions!$H$33:$P$41,$D29,$E29)</f>
        <v>521</v>
      </c>
      <c r="G29" s="39" t="str">
        <f>INDEX(Assumptions!$H$15:$P$24,$H$15,$D29)</f>
        <v>Hub 1</v>
      </c>
      <c r="H29" s="39" t="str">
        <f>INDEX(Assumptions!$H$15:$P$24,$H$15,$E29)</f>
        <v>Hub 3</v>
      </c>
      <c r="I29" s="39" t="b">
        <f t="shared" si="11"/>
        <v>0</v>
      </c>
      <c r="J29" s="39">
        <f>I29*(F29&lt;=Assumptions!$H$51)</f>
        <v>0</v>
      </c>
      <c r="K29" s="39">
        <f>INDEX($Y28:$AG28,$D29)</f>
        <v>-475</v>
      </c>
      <c r="L29" s="39">
        <f>INDEX($Y28:$AG28,$E29)</f>
        <v>198</v>
      </c>
      <c r="M29" s="39">
        <f t="shared" si="12"/>
        <v>0</v>
      </c>
      <c r="N29" s="39">
        <f t="shared" si="13"/>
        <v>0</v>
      </c>
      <c r="O29" s="39">
        <f>-N29*F29*2*Assumptions!$H$49</f>
        <v>0</v>
      </c>
      <c r="P29" s="39">
        <f t="shared" si="2"/>
        <v>2225</v>
      </c>
      <c r="Q29" s="39">
        <f t="shared" si="3"/>
        <v>400</v>
      </c>
      <c r="R29" s="39">
        <f t="shared" si="4"/>
        <v>100</v>
      </c>
      <c r="S29" s="39">
        <f t="shared" si="5"/>
        <v>333</v>
      </c>
      <c r="T29" s="39">
        <f t="shared" si="6"/>
        <v>88</v>
      </c>
      <c r="U29" s="39">
        <f t="shared" si="7"/>
        <v>280</v>
      </c>
      <c r="V29" s="39">
        <f t="shared" si="8"/>
        <v>567</v>
      </c>
      <c r="W29" s="39">
        <f t="shared" si="9"/>
        <v>898</v>
      </c>
      <c r="X29" s="39">
        <f t="shared" si="10"/>
        <v>1087</v>
      </c>
      <c r="Y29" s="39">
        <f>P29-Assumptions!H$27</f>
        <v>-475</v>
      </c>
      <c r="Z29" s="39">
        <f>Q29-Assumptions!I$27</f>
        <v>0</v>
      </c>
      <c r="AA29" s="39">
        <f>R29-Assumptions!J$27</f>
        <v>0</v>
      </c>
      <c r="AB29" s="39">
        <f>S29-Assumptions!K$27</f>
        <v>-67</v>
      </c>
      <c r="AC29" s="39">
        <f>T29-Assumptions!L$27</f>
        <v>-12</v>
      </c>
      <c r="AD29" s="39">
        <f>U29-Assumptions!M$27</f>
        <v>-120</v>
      </c>
      <c r="AE29" s="39">
        <f>V29-Assumptions!N$27</f>
        <v>-33</v>
      </c>
      <c r="AF29" s="39">
        <f>W29-Assumptions!O$27</f>
        <v>198</v>
      </c>
      <c r="AG29" s="39">
        <f>X29-Assumptions!P$27</f>
        <v>187</v>
      </c>
    </row>
    <row r="30" spans="1:33" x14ac:dyDescent="0.2">
      <c r="A30" s="39"/>
      <c r="B30" s="39"/>
      <c r="C30" s="39"/>
      <c r="D30" s="39">
        <v>1</v>
      </c>
      <c r="E30" s="39">
        <v>9</v>
      </c>
      <c r="F30" s="39">
        <f>INDEX(Assumptions!$H$33:$P$41,$D30,$E30)</f>
        <v>529.42999999999995</v>
      </c>
      <c r="G30" s="39" t="str">
        <f>INDEX(Assumptions!$H$15:$P$24,$H$15,$D30)</f>
        <v>Hub 1</v>
      </c>
      <c r="H30" s="39" t="str">
        <f>INDEX(Assumptions!$H$15:$P$24,$H$15,$E30)</f>
        <v>Hub 3</v>
      </c>
      <c r="I30" s="39" t="b">
        <f t="shared" si="11"/>
        <v>0</v>
      </c>
      <c r="J30" s="39">
        <f>I30*(F30&lt;=Assumptions!$H$51)</f>
        <v>0</v>
      </c>
      <c r="K30" s="39">
        <f>INDEX($Y29:$AG29,$D30)</f>
        <v>-475</v>
      </c>
      <c r="L30" s="39">
        <f>INDEX($Y29:$AG29,$E30)</f>
        <v>187</v>
      </c>
      <c r="M30" s="39">
        <f t="shared" si="12"/>
        <v>0</v>
      </c>
      <c r="N30" s="39">
        <f t="shared" si="13"/>
        <v>0</v>
      </c>
      <c r="O30" s="39">
        <f>-N30*F30*2*Assumptions!$H$49</f>
        <v>0</v>
      </c>
      <c r="P30" s="39">
        <f t="shared" si="2"/>
        <v>2225</v>
      </c>
      <c r="Q30" s="39">
        <f t="shared" si="3"/>
        <v>400</v>
      </c>
      <c r="R30" s="39">
        <f t="shared" si="4"/>
        <v>100</v>
      </c>
      <c r="S30" s="39">
        <f t="shared" si="5"/>
        <v>333</v>
      </c>
      <c r="T30" s="39">
        <f t="shared" si="6"/>
        <v>88</v>
      </c>
      <c r="U30" s="39">
        <f t="shared" si="7"/>
        <v>280</v>
      </c>
      <c r="V30" s="39">
        <f t="shared" si="8"/>
        <v>567</v>
      </c>
      <c r="W30" s="39">
        <f t="shared" si="9"/>
        <v>898</v>
      </c>
      <c r="X30" s="39">
        <f t="shared" si="10"/>
        <v>1087</v>
      </c>
      <c r="Y30" s="39">
        <f>P30-Assumptions!H$27</f>
        <v>-475</v>
      </c>
      <c r="Z30" s="39">
        <f>Q30-Assumptions!I$27</f>
        <v>0</v>
      </c>
      <c r="AA30" s="39">
        <f>R30-Assumptions!J$27</f>
        <v>0</v>
      </c>
      <c r="AB30" s="39">
        <f>S30-Assumptions!K$27</f>
        <v>-67</v>
      </c>
      <c r="AC30" s="39">
        <f>T30-Assumptions!L$27</f>
        <v>-12</v>
      </c>
      <c r="AD30" s="39">
        <f>U30-Assumptions!M$27</f>
        <v>-120</v>
      </c>
      <c r="AE30" s="39">
        <f>V30-Assumptions!N$27</f>
        <v>-33</v>
      </c>
      <c r="AF30" s="39">
        <f>W30-Assumptions!O$27</f>
        <v>198</v>
      </c>
      <c r="AG30" s="39">
        <f>X30-Assumptions!P$27</f>
        <v>187</v>
      </c>
    </row>
    <row r="31" spans="1:33" x14ac:dyDescent="0.2">
      <c r="A31" s="39"/>
      <c r="B31" s="39"/>
      <c r="C31" s="39"/>
      <c r="D31" s="39">
        <v>7</v>
      </c>
      <c r="E31" s="39">
        <v>8</v>
      </c>
      <c r="F31" s="39">
        <f>INDEX(Assumptions!$H$33:$P$41,$D31,$E31)</f>
        <v>557.82000000000005</v>
      </c>
      <c r="G31" s="39" t="str">
        <f>INDEX(Assumptions!$H$15:$P$24,$H$15,$D31)</f>
        <v>Hub 3</v>
      </c>
      <c r="H31" s="39" t="str">
        <f>INDEX(Assumptions!$H$15:$P$24,$H$15,$E31)</f>
        <v>Hub 3</v>
      </c>
      <c r="I31" s="39" t="b">
        <f t="shared" si="11"/>
        <v>1</v>
      </c>
      <c r="J31" s="39">
        <f>I31*(F31&lt;=Assumptions!$H$51)</f>
        <v>1</v>
      </c>
      <c r="K31" s="39">
        <f>INDEX($Y30:$AG30,$D31)</f>
        <v>-33</v>
      </c>
      <c r="L31" s="39">
        <f>INDEX($Y30:$AG30,$E31)</f>
        <v>198</v>
      </c>
      <c r="M31" s="39">
        <f t="shared" si="12"/>
        <v>1</v>
      </c>
      <c r="N31" s="39">
        <f t="shared" si="13"/>
        <v>33</v>
      </c>
      <c r="O31" s="39">
        <f>-N31*F31*2*Assumptions!$H$49</f>
        <v>-51542.567999999999</v>
      </c>
      <c r="P31" s="39">
        <f t="shared" si="2"/>
        <v>2225</v>
      </c>
      <c r="Q31" s="39">
        <f t="shared" si="3"/>
        <v>400</v>
      </c>
      <c r="R31" s="39">
        <f t="shared" si="4"/>
        <v>100</v>
      </c>
      <c r="S31" s="39">
        <f t="shared" si="5"/>
        <v>333</v>
      </c>
      <c r="T31" s="39">
        <f t="shared" si="6"/>
        <v>88</v>
      </c>
      <c r="U31" s="39">
        <f t="shared" si="7"/>
        <v>280</v>
      </c>
      <c r="V31" s="39">
        <f t="shared" si="8"/>
        <v>600</v>
      </c>
      <c r="W31" s="39">
        <f t="shared" si="9"/>
        <v>865</v>
      </c>
      <c r="X31" s="39">
        <f t="shared" si="10"/>
        <v>1087</v>
      </c>
      <c r="Y31" s="39">
        <f>P31-Assumptions!H$27</f>
        <v>-475</v>
      </c>
      <c r="Z31" s="39">
        <f>Q31-Assumptions!I$27</f>
        <v>0</v>
      </c>
      <c r="AA31" s="39">
        <f>R31-Assumptions!J$27</f>
        <v>0</v>
      </c>
      <c r="AB31" s="39">
        <f>S31-Assumptions!K$27</f>
        <v>-67</v>
      </c>
      <c r="AC31" s="39">
        <f>T31-Assumptions!L$27</f>
        <v>-12</v>
      </c>
      <c r="AD31" s="39">
        <f>U31-Assumptions!M$27</f>
        <v>-120</v>
      </c>
      <c r="AE31" s="39">
        <f>V31-Assumptions!N$27</f>
        <v>0</v>
      </c>
      <c r="AF31" s="39">
        <f>W31-Assumptions!O$27</f>
        <v>165</v>
      </c>
      <c r="AG31" s="39">
        <f>X31-Assumptions!P$27</f>
        <v>187</v>
      </c>
    </row>
    <row r="32" spans="1:33" x14ac:dyDescent="0.2">
      <c r="A32" s="39"/>
      <c r="B32" s="39"/>
      <c r="C32" s="39"/>
      <c r="D32" s="39">
        <v>1</v>
      </c>
      <c r="E32" s="39">
        <v>5</v>
      </c>
      <c r="F32" s="39">
        <f>INDEX(Assumptions!$H$33:$P$41,$D32,$E32)</f>
        <v>576</v>
      </c>
      <c r="G32" s="39" t="str">
        <f>INDEX(Assumptions!$H$15:$P$24,$H$15,$D32)</f>
        <v>Hub 1</v>
      </c>
      <c r="H32" s="39" t="str">
        <f>INDEX(Assumptions!$H$15:$P$24,$H$15,$E32)</f>
        <v>Hub 2</v>
      </c>
      <c r="I32" s="39" t="b">
        <f t="shared" si="11"/>
        <v>0</v>
      </c>
      <c r="J32" s="39">
        <f>I32*(F32&lt;=Assumptions!$H$51)</f>
        <v>0</v>
      </c>
      <c r="K32" s="39">
        <f>INDEX($Y31:$AG31,$D32)</f>
        <v>-475</v>
      </c>
      <c r="L32" s="39">
        <f>INDEX($Y31:$AG31,$E32)</f>
        <v>-12</v>
      </c>
      <c r="M32" s="39">
        <f t="shared" si="12"/>
        <v>0</v>
      </c>
      <c r="N32" s="39">
        <f t="shared" si="13"/>
        <v>0</v>
      </c>
      <c r="O32" s="39">
        <f>-N32*F32*2*Assumptions!$H$49</f>
        <v>0</v>
      </c>
      <c r="P32" s="39">
        <f t="shared" si="2"/>
        <v>2225</v>
      </c>
      <c r="Q32" s="39">
        <f t="shared" si="3"/>
        <v>400</v>
      </c>
      <c r="R32" s="39">
        <f t="shared" si="4"/>
        <v>100</v>
      </c>
      <c r="S32" s="39">
        <f t="shared" si="5"/>
        <v>333</v>
      </c>
      <c r="T32" s="39">
        <f t="shared" si="6"/>
        <v>88</v>
      </c>
      <c r="U32" s="39">
        <f t="shared" si="7"/>
        <v>280</v>
      </c>
      <c r="V32" s="39">
        <f t="shared" si="8"/>
        <v>600</v>
      </c>
      <c r="W32" s="39">
        <f t="shared" si="9"/>
        <v>865</v>
      </c>
      <c r="X32" s="39">
        <f t="shared" si="10"/>
        <v>1087</v>
      </c>
      <c r="Y32" s="39">
        <f>P32-Assumptions!H$27</f>
        <v>-475</v>
      </c>
      <c r="Z32" s="39">
        <f>Q32-Assumptions!I$27</f>
        <v>0</v>
      </c>
      <c r="AA32" s="39">
        <f>R32-Assumptions!J$27</f>
        <v>0</v>
      </c>
      <c r="AB32" s="39">
        <f>S32-Assumptions!K$27</f>
        <v>-67</v>
      </c>
      <c r="AC32" s="39">
        <f>T32-Assumptions!L$27</f>
        <v>-12</v>
      </c>
      <c r="AD32" s="39">
        <f>U32-Assumptions!M$27</f>
        <v>-120</v>
      </c>
      <c r="AE32" s="39">
        <f>V32-Assumptions!N$27</f>
        <v>0</v>
      </c>
      <c r="AF32" s="39">
        <f>W32-Assumptions!O$27</f>
        <v>165</v>
      </c>
      <c r="AG32" s="39">
        <f>X32-Assumptions!P$27</f>
        <v>187</v>
      </c>
    </row>
    <row r="33" spans="1:33" x14ac:dyDescent="0.2">
      <c r="A33" s="39"/>
      <c r="B33" s="39"/>
      <c r="C33" s="39"/>
      <c r="D33" s="39">
        <v>5</v>
      </c>
      <c r="E33" s="39">
        <v>7</v>
      </c>
      <c r="F33" s="39">
        <f>INDEX(Assumptions!$H$33:$P$41,$D33,$E33)</f>
        <v>577</v>
      </c>
      <c r="G33" s="39" t="str">
        <f>INDEX(Assumptions!$H$15:$P$24,$H$15,$D33)</f>
        <v>Hub 2</v>
      </c>
      <c r="H33" s="39" t="str">
        <f>INDEX(Assumptions!$H$15:$P$24,$H$15,$E33)</f>
        <v>Hub 3</v>
      </c>
      <c r="I33" s="39" t="b">
        <f t="shared" si="11"/>
        <v>0</v>
      </c>
      <c r="J33" s="39">
        <f>I33*(F33&lt;=Assumptions!$H$51)</f>
        <v>0</v>
      </c>
      <c r="K33" s="39">
        <f>INDEX($Y32:$AG32,$D33)</f>
        <v>-12</v>
      </c>
      <c r="L33" s="39">
        <f>INDEX($Y32:$AG32,$E33)</f>
        <v>0</v>
      </c>
      <c r="M33" s="39">
        <f t="shared" si="12"/>
        <v>0</v>
      </c>
      <c r="N33" s="39">
        <f t="shared" si="13"/>
        <v>0</v>
      </c>
      <c r="O33" s="39">
        <f>-N33*F33*2*Assumptions!$H$49</f>
        <v>0</v>
      </c>
      <c r="P33" s="39">
        <f t="shared" si="2"/>
        <v>2225</v>
      </c>
      <c r="Q33" s="39">
        <f t="shared" si="3"/>
        <v>400</v>
      </c>
      <c r="R33" s="39">
        <f t="shared" si="4"/>
        <v>100</v>
      </c>
      <c r="S33" s="39">
        <f t="shared" si="5"/>
        <v>333</v>
      </c>
      <c r="T33" s="39">
        <f t="shared" si="6"/>
        <v>88</v>
      </c>
      <c r="U33" s="39">
        <f t="shared" si="7"/>
        <v>280</v>
      </c>
      <c r="V33" s="39">
        <f t="shared" si="8"/>
        <v>600</v>
      </c>
      <c r="W33" s="39">
        <f t="shared" si="9"/>
        <v>865</v>
      </c>
      <c r="X33" s="39">
        <f t="shared" si="10"/>
        <v>1087</v>
      </c>
      <c r="Y33" s="39">
        <f>P33-Assumptions!H$27</f>
        <v>-475</v>
      </c>
      <c r="Z33" s="39">
        <f>Q33-Assumptions!I$27</f>
        <v>0</v>
      </c>
      <c r="AA33" s="39">
        <f>R33-Assumptions!J$27</f>
        <v>0</v>
      </c>
      <c r="AB33" s="39">
        <f>S33-Assumptions!K$27</f>
        <v>-67</v>
      </c>
      <c r="AC33" s="39">
        <f>T33-Assumptions!L$27</f>
        <v>-12</v>
      </c>
      <c r="AD33" s="39">
        <f>U33-Assumptions!M$27</f>
        <v>-120</v>
      </c>
      <c r="AE33" s="39">
        <f>V33-Assumptions!N$27</f>
        <v>0</v>
      </c>
      <c r="AF33" s="39">
        <f>W33-Assumptions!O$27</f>
        <v>165</v>
      </c>
      <c r="AG33" s="39">
        <f>X33-Assumptions!P$27</f>
        <v>187</v>
      </c>
    </row>
    <row r="34" spans="1:33" x14ac:dyDescent="0.2">
      <c r="A34" s="39"/>
      <c r="B34" s="39"/>
      <c r="C34" s="39"/>
      <c r="D34" s="39">
        <v>1</v>
      </c>
      <c r="E34" s="39">
        <v>7</v>
      </c>
      <c r="F34" s="39">
        <f>INDEX(Assumptions!$H$33:$P$41,$D34,$E34)</f>
        <v>613</v>
      </c>
      <c r="G34" s="39" t="str">
        <f>INDEX(Assumptions!$H$15:$P$24,$H$15,$D34)</f>
        <v>Hub 1</v>
      </c>
      <c r="H34" s="39" t="str">
        <f>INDEX(Assumptions!$H$15:$P$24,$H$15,$E34)</f>
        <v>Hub 3</v>
      </c>
      <c r="I34" s="39" t="b">
        <f t="shared" si="11"/>
        <v>0</v>
      </c>
      <c r="J34" s="39">
        <f>I34*(F34&lt;=Assumptions!$H$51)</f>
        <v>0</v>
      </c>
      <c r="K34" s="39">
        <f>INDEX($Y33:$AG33,$D34)</f>
        <v>-475</v>
      </c>
      <c r="L34" s="39">
        <f>INDEX($Y33:$AG33,$E34)</f>
        <v>0</v>
      </c>
      <c r="M34" s="39">
        <f t="shared" si="12"/>
        <v>0</v>
      </c>
      <c r="N34" s="39">
        <f t="shared" si="13"/>
        <v>0</v>
      </c>
      <c r="O34" s="39">
        <f>-N34*F34*2*Assumptions!$H$49</f>
        <v>0</v>
      </c>
      <c r="P34" s="39">
        <f t="shared" si="2"/>
        <v>2225</v>
      </c>
      <c r="Q34" s="39">
        <f t="shared" si="3"/>
        <v>400</v>
      </c>
      <c r="R34" s="39">
        <f t="shared" si="4"/>
        <v>100</v>
      </c>
      <c r="S34" s="39">
        <f t="shared" si="5"/>
        <v>333</v>
      </c>
      <c r="T34" s="39">
        <f t="shared" si="6"/>
        <v>88</v>
      </c>
      <c r="U34" s="39">
        <f t="shared" si="7"/>
        <v>280</v>
      </c>
      <c r="V34" s="39">
        <f t="shared" si="8"/>
        <v>600</v>
      </c>
      <c r="W34" s="39">
        <f t="shared" si="9"/>
        <v>865</v>
      </c>
      <c r="X34" s="39">
        <f t="shared" si="10"/>
        <v>1087</v>
      </c>
      <c r="Y34" s="39">
        <f>P34-Assumptions!H$27</f>
        <v>-475</v>
      </c>
      <c r="Z34" s="39">
        <f>Q34-Assumptions!I$27</f>
        <v>0</v>
      </c>
      <c r="AA34" s="39">
        <f>R34-Assumptions!J$27</f>
        <v>0</v>
      </c>
      <c r="AB34" s="39">
        <f>S34-Assumptions!K$27</f>
        <v>-67</v>
      </c>
      <c r="AC34" s="39">
        <f>T34-Assumptions!L$27</f>
        <v>-12</v>
      </c>
      <c r="AD34" s="39">
        <f>U34-Assumptions!M$27</f>
        <v>-120</v>
      </c>
      <c r="AE34" s="39">
        <f>V34-Assumptions!N$27</f>
        <v>0</v>
      </c>
      <c r="AF34" s="39">
        <f>W34-Assumptions!O$27</f>
        <v>165</v>
      </c>
      <c r="AG34" s="39">
        <f>X34-Assumptions!P$27</f>
        <v>187</v>
      </c>
    </row>
    <row r="35" spans="1:33" x14ac:dyDescent="0.2">
      <c r="A35" s="39"/>
      <c r="B35" s="39"/>
      <c r="C35" s="39"/>
      <c r="D35" s="39">
        <v>6</v>
      </c>
      <c r="E35" s="39">
        <v>8</v>
      </c>
      <c r="F35" s="39">
        <f>INDEX(Assumptions!$H$33:$P$41,$D35,$E35)</f>
        <v>620</v>
      </c>
      <c r="G35" s="39" t="str">
        <f>INDEX(Assumptions!$H$15:$P$24,$H$15,$D35)</f>
        <v>Hub 2</v>
      </c>
      <c r="H35" s="39" t="str">
        <f>INDEX(Assumptions!$H$15:$P$24,$H$15,$E35)</f>
        <v>Hub 3</v>
      </c>
      <c r="I35" s="39" t="b">
        <f t="shared" si="11"/>
        <v>0</v>
      </c>
      <c r="J35" s="39">
        <f>I35*(F35&lt;=Assumptions!$H$51)</f>
        <v>0</v>
      </c>
      <c r="K35" s="39">
        <f>INDEX($Y34:$AG34,$D35)</f>
        <v>-120</v>
      </c>
      <c r="L35" s="39">
        <f>INDEX($Y34:$AG34,$E35)</f>
        <v>165</v>
      </c>
      <c r="M35" s="39">
        <f t="shared" si="12"/>
        <v>0</v>
      </c>
      <c r="N35" s="39">
        <f t="shared" si="13"/>
        <v>0</v>
      </c>
      <c r="O35" s="39">
        <f>-N35*F35*2*Assumptions!$H$49</f>
        <v>0</v>
      </c>
      <c r="P35" s="39">
        <f t="shared" si="2"/>
        <v>2225</v>
      </c>
      <c r="Q35" s="39">
        <f t="shared" si="3"/>
        <v>400</v>
      </c>
      <c r="R35" s="39">
        <f t="shared" si="4"/>
        <v>100</v>
      </c>
      <c r="S35" s="39">
        <f t="shared" si="5"/>
        <v>333</v>
      </c>
      <c r="T35" s="39">
        <f t="shared" si="6"/>
        <v>88</v>
      </c>
      <c r="U35" s="39">
        <f t="shared" si="7"/>
        <v>280</v>
      </c>
      <c r="V35" s="39">
        <f t="shared" si="8"/>
        <v>600</v>
      </c>
      <c r="W35" s="39">
        <f t="shared" si="9"/>
        <v>865</v>
      </c>
      <c r="X35" s="39">
        <f t="shared" si="10"/>
        <v>1087</v>
      </c>
      <c r="Y35" s="39">
        <f>P35-Assumptions!H$27</f>
        <v>-475</v>
      </c>
      <c r="Z35" s="39">
        <f>Q35-Assumptions!I$27</f>
        <v>0</v>
      </c>
      <c r="AA35" s="39">
        <f>R35-Assumptions!J$27</f>
        <v>0</v>
      </c>
      <c r="AB35" s="39">
        <f>S35-Assumptions!K$27</f>
        <v>-67</v>
      </c>
      <c r="AC35" s="39">
        <f>T35-Assumptions!L$27</f>
        <v>-12</v>
      </c>
      <c r="AD35" s="39">
        <f>U35-Assumptions!M$27</f>
        <v>-120</v>
      </c>
      <c r="AE35" s="39">
        <f>V35-Assumptions!N$27</f>
        <v>0</v>
      </c>
      <c r="AF35" s="39">
        <f>W35-Assumptions!O$27</f>
        <v>165</v>
      </c>
      <c r="AG35" s="39">
        <f>X35-Assumptions!P$27</f>
        <v>187</v>
      </c>
    </row>
    <row r="36" spans="1:33" x14ac:dyDescent="0.2">
      <c r="A36" s="39"/>
      <c r="B36" s="39"/>
      <c r="C36" s="39"/>
      <c r="D36" s="39">
        <v>2</v>
      </c>
      <c r="E36" s="39">
        <v>4</v>
      </c>
      <c r="F36" s="39">
        <f>INDEX(Assumptions!$H$33:$P$41,$D36,$E36)</f>
        <v>681.69</v>
      </c>
      <c r="G36" s="39" t="str">
        <f>INDEX(Assumptions!$H$15:$P$24,$H$15,$D36)</f>
        <v>Hub 1</v>
      </c>
      <c r="H36" s="39" t="str">
        <f>INDEX(Assumptions!$H$15:$P$24,$H$15,$E36)</f>
        <v>Hub 2</v>
      </c>
      <c r="I36" s="39" t="b">
        <f t="shared" si="11"/>
        <v>0</v>
      </c>
      <c r="J36" s="39">
        <f>I36*(F36&lt;=Assumptions!$H$51)</f>
        <v>0</v>
      </c>
      <c r="K36" s="39">
        <f>INDEX($Y35:$AG35,$D36)</f>
        <v>0</v>
      </c>
      <c r="L36" s="39">
        <f>INDEX($Y35:$AG35,$E36)</f>
        <v>-67</v>
      </c>
      <c r="M36" s="39">
        <f t="shared" si="12"/>
        <v>0</v>
      </c>
      <c r="N36" s="39">
        <f t="shared" si="13"/>
        <v>0</v>
      </c>
      <c r="O36" s="39">
        <f>-N36*F36*2*Assumptions!$H$49</f>
        <v>0</v>
      </c>
      <c r="P36" s="39">
        <f t="shared" si="2"/>
        <v>2225</v>
      </c>
      <c r="Q36" s="39">
        <f t="shared" si="3"/>
        <v>400</v>
      </c>
      <c r="R36" s="39">
        <f t="shared" si="4"/>
        <v>100</v>
      </c>
      <c r="S36" s="39">
        <f t="shared" si="5"/>
        <v>333</v>
      </c>
      <c r="T36" s="39">
        <f t="shared" si="6"/>
        <v>88</v>
      </c>
      <c r="U36" s="39">
        <f t="shared" si="7"/>
        <v>280</v>
      </c>
      <c r="V36" s="39">
        <f t="shared" si="8"/>
        <v>600</v>
      </c>
      <c r="W36" s="39">
        <f t="shared" si="9"/>
        <v>865</v>
      </c>
      <c r="X36" s="39">
        <f t="shared" si="10"/>
        <v>1087</v>
      </c>
      <c r="Y36" s="39">
        <f>P36-Assumptions!H$27</f>
        <v>-475</v>
      </c>
      <c r="Z36" s="39">
        <f>Q36-Assumptions!I$27</f>
        <v>0</v>
      </c>
      <c r="AA36" s="39">
        <f>R36-Assumptions!J$27</f>
        <v>0</v>
      </c>
      <c r="AB36" s="39">
        <f>S36-Assumptions!K$27</f>
        <v>-67</v>
      </c>
      <c r="AC36" s="39">
        <f>T36-Assumptions!L$27</f>
        <v>-12</v>
      </c>
      <c r="AD36" s="39">
        <f>U36-Assumptions!M$27</f>
        <v>-120</v>
      </c>
      <c r="AE36" s="39">
        <f>V36-Assumptions!N$27</f>
        <v>0</v>
      </c>
      <c r="AF36" s="39">
        <f>W36-Assumptions!O$27</f>
        <v>165</v>
      </c>
      <c r="AG36" s="39">
        <f>X36-Assumptions!P$27</f>
        <v>187</v>
      </c>
    </row>
    <row r="37" spans="1:33" x14ac:dyDescent="0.2">
      <c r="A37" s="39"/>
      <c r="B37" s="39"/>
      <c r="C37" s="39"/>
      <c r="D37" s="39">
        <v>3</v>
      </c>
      <c r="E37" s="39">
        <v>6</v>
      </c>
      <c r="F37" s="39">
        <f>INDEX(Assumptions!$H$33:$P$41,$D37,$E37)</f>
        <v>683.4</v>
      </c>
      <c r="G37" s="39" t="str">
        <f>INDEX(Assumptions!$H$15:$P$24,$H$15,$D37)</f>
        <v>Hub 1</v>
      </c>
      <c r="H37" s="39" t="str">
        <f>INDEX(Assumptions!$H$15:$P$24,$H$15,$E37)</f>
        <v>Hub 2</v>
      </c>
      <c r="I37" s="39" t="b">
        <f t="shared" si="11"/>
        <v>0</v>
      </c>
      <c r="J37" s="39">
        <f>I37*(F37&lt;=Assumptions!$H$51)</f>
        <v>0</v>
      </c>
      <c r="K37" s="39">
        <f>INDEX($Y36:$AG36,$D37)</f>
        <v>0</v>
      </c>
      <c r="L37" s="39">
        <f>INDEX($Y36:$AG36,$E37)</f>
        <v>-120</v>
      </c>
      <c r="M37" s="39">
        <f t="shared" si="12"/>
        <v>0</v>
      </c>
      <c r="N37" s="39">
        <f t="shared" si="13"/>
        <v>0</v>
      </c>
      <c r="O37" s="39">
        <f>-N37*F37*2*Assumptions!$H$49</f>
        <v>0</v>
      </c>
      <c r="P37" s="39">
        <f t="shared" si="2"/>
        <v>2225</v>
      </c>
      <c r="Q37" s="39">
        <f t="shared" si="3"/>
        <v>400</v>
      </c>
      <c r="R37" s="39">
        <f t="shared" si="4"/>
        <v>100</v>
      </c>
      <c r="S37" s="39">
        <f t="shared" si="5"/>
        <v>333</v>
      </c>
      <c r="T37" s="39">
        <f t="shared" si="6"/>
        <v>88</v>
      </c>
      <c r="U37" s="39">
        <f t="shared" si="7"/>
        <v>280</v>
      </c>
      <c r="V37" s="39">
        <f t="shared" si="8"/>
        <v>600</v>
      </c>
      <c r="W37" s="39">
        <f t="shared" si="9"/>
        <v>865</v>
      </c>
      <c r="X37" s="39">
        <f t="shared" si="10"/>
        <v>1087</v>
      </c>
      <c r="Y37" s="39">
        <f>P37-Assumptions!H$27</f>
        <v>-475</v>
      </c>
      <c r="Z37" s="39">
        <f>Q37-Assumptions!I$27</f>
        <v>0</v>
      </c>
      <c r="AA37" s="39">
        <f>R37-Assumptions!J$27</f>
        <v>0</v>
      </c>
      <c r="AB37" s="39">
        <f>S37-Assumptions!K$27</f>
        <v>-67</v>
      </c>
      <c r="AC37" s="39">
        <f>T37-Assumptions!L$27</f>
        <v>-12</v>
      </c>
      <c r="AD37" s="39">
        <f>U37-Assumptions!M$27</f>
        <v>-120</v>
      </c>
      <c r="AE37" s="39">
        <f>V37-Assumptions!N$27</f>
        <v>0</v>
      </c>
      <c r="AF37" s="39">
        <f>W37-Assumptions!O$27</f>
        <v>165</v>
      </c>
      <c r="AG37" s="39">
        <f>X37-Assumptions!P$27</f>
        <v>187</v>
      </c>
    </row>
    <row r="38" spans="1:33" x14ac:dyDescent="0.2">
      <c r="A38" s="39"/>
      <c r="B38" s="39"/>
      <c r="C38" s="39"/>
      <c r="D38" s="39">
        <v>4</v>
      </c>
      <c r="E38" s="39">
        <v>7</v>
      </c>
      <c r="F38" s="39">
        <f>INDEX(Assumptions!$H$33:$P$41,$D38,$E38)</f>
        <v>759.71</v>
      </c>
      <c r="G38" s="39" t="str">
        <f>INDEX(Assumptions!$H$15:$P$24,$H$15,$D38)</f>
        <v>Hub 2</v>
      </c>
      <c r="H38" s="39" t="str">
        <f>INDEX(Assumptions!$H$15:$P$24,$H$15,$E38)</f>
        <v>Hub 3</v>
      </c>
      <c r="I38" s="39" t="b">
        <f t="shared" si="11"/>
        <v>0</v>
      </c>
      <c r="J38" s="39">
        <f>I38*(F38&lt;=Assumptions!$H$51)</f>
        <v>0</v>
      </c>
      <c r="K38" s="39">
        <f>INDEX($Y37:$AG37,$D38)</f>
        <v>-67</v>
      </c>
      <c r="L38" s="39">
        <f>INDEX($Y37:$AG37,$E38)</f>
        <v>0</v>
      </c>
      <c r="M38" s="39">
        <f t="shared" si="12"/>
        <v>0</v>
      </c>
      <c r="N38" s="39">
        <f t="shared" si="13"/>
        <v>0</v>
      </c>
      <c r="O38" s="39">
        <f>-N38*F38*2*Assumptions!$H$49</f>
        <v>0</v>
      </c>
      <c r="P38" s="39">
        <f t="shared" si="2"/>
        <v>2225</v>
      </c>
      <c r="Q38" s="39">
        <f t="shared" si="3"/>
        <v>400</v>
      </c>
      <c r="R38" s="39">
        <f t="shared" si="4"/>
        <v>100</v>
      </c>
      <c r="S38" s="39">
        <f t="shared" si="5"/>
        <v>333</v>
      </c>
      <c r="T38" s="39">
        <f t="shared" si="6"/>
        <v>88</v>
      </c>
      <c r="U38" s="39">
        <f t="shared" si="7"/>
        <v>280</v>
      </c>
      <c r="V38" s="39">
        <f t="shared" si="8"/>
        <v>600</v>
      </c>
      <c r="W38" s="39">
        <f t="shared" si="9"/>
        <v>865</v>
      </c>
      <c r="X38" s="39">
        <f t="shared" si="10"/>
        <v>1087</v>
      </c>
      <c r="Y38" s="39">
        <f>P38-Assumptions!H$27</f>
        <v>-475</v>
      </c>
      <c r="Z38" s="39">
        <f>Q38-Assumptions!I$27</f>
        <v>0</v>
      </c>
      <c r="AA38" s="39">
        <f>R38-Assumptions!J$27</f>
        <v>0</v>
      </c>
      <c r="AB38" s="39">
        <f>S38-Assumptions!K$27</f>
        <v>-67</v>
      </c>
      <c r="AC38" s="39">
        <f>T38-Assumptions!L$27</f>
        <v>-12</v>
      </c>
      <c r="AD38" s="39">
        <f>U38-Assumptions!M$27</f>
        <v>-120</v>
      </c>
      <c r="AE38" s="39">
        <f>V38-Assumptions!N$27</f>
        <v>0</v>
      </c>
      <c r="AF38" s="39">
        <f>W38-Assumptions!O$27</f>
        <v>165</v>
      </c>
      <c r="AG38" s="39">
        <f>X38-Assumptions!P$27</f>
        <v>187</v>
      </c>
    </row>
    <row r="39" spans="1:33" x14ac:dyDescent="0.2">
      <c r="A39" s="39"/>
      <c r="B39" s="39"/>
      <c r="C39" s="39"/>
      <c r="D39" s="39">
        <v>3</v>
      </c>
      <c r="E39" s="39">
        <v>5</v>
      </c>
      <c r="F39" s="39">
        <f>INDEX(Assumptions!$H$33:$P$41,$D39,$E39)</f>
        <v>790.23</v>
      </c>
      <c r="G39" s="39" t="str">
        <f>INDEX(Assumptions!$H$15:$P$24,$H$15,$D39)</f>
        <v>Hub 1</v>
      </c>
      <c r="H39" s="39" t="str">
        <f>INDEX(Assumptions!$H$15:$P$24,$H$15,$E39)</f>
        <v>Hub 2</v>
      </c>
      <c r="I39" s="39" t="b">
        <f t="shared" si="11"/>
        <v>0</v>
      </c>
      <c r="J39" s="39">
        <f>I39*(F39&lt;=Assumptions!$H$51)</f>
        <v>0</v>
      </c>
      <c r="K39" s="39">
        <f>INDEX($Y38:$AG38,$D39)</f>
        <v>0</v>
      </c>
      <c r="L39" s="39">
        <f>INDEX($Y38:$AG38,$E39)</f>
        <v>-12</v>
      </c>
      <c r="M39" s="39">
        <f t="shared" si="12"/>
        <v>0</v>
      </c>
      <c r="N39" s="39">
        <f t="shared" si="13"/>
        <v>0</v>
      </c>
      <c r="O39" s="39">
        <f>-N39*F39*2*Assumptions!$H$49</f>
        <v>0</v>
      </c>
      <c r="P39" s="39">
        <f t="shared" si="2"/>
        <v>2225</v>
      </c>
      <c r="Q39" s="39">
        <f t="shared" si="3"/>
        <v>400</v>
      </c>
      <c r="R39" s="39">
        <f t="shared" si="4"/>
        <v>100</v>
      </c>
      <c r="S39" s="39">
        <f t="shared" si="5"/>
        <v>333</v>
      </c>
      <c r="T39" s="39">
        <f t="shared" si="6"/>
        <v>88</v>
      </c>
      <c r="U39" s="39">
        <f t="shared" si="7"/>
        <v>280</v>
      </c>
      <c r="V39" s="39">
        <f t="shared" si="8"/>
        <v>600</v>
      </c>
      <c r="W39" s="39">
        <f t="shared" si="9"/>
        <v>865</v>
      </c>
      <c r="X39" s="39">
        <f t="shared" si="10"/>
        <v>1087</v>
      </c>
      <c r="Y39" s="39">
        <f>P39-Assumptions!H$27</f>
        <v>-475</v>
      </c>
      <c r="Z39" s="39">
        <f>Q39-Assumptions!I$27</f>
        <v>0</v>
      </c>
      <c r="AA39" s="39">
        <f>R39-Assumptions!J$27</f>
        <v>0</v>
      </c>
      <c r="AB39" s="39">
        <f>S39-Assumptions!K$27</f>
        <v>-67</v>
      </c>
      <c r="AC39" s="39">
        <f>T39-Assumptions!L$27</f>
        <v>-12</v>
      </c>
      <c r="AD39" s="39">
        <f>U39-Assumptions!M$27</f>
        <v>-120</v>
      </c>
      <c r="AE39" s="39">
        <f>V39-Assumptions!N$27</f>
        <v>0</v>
      </c>
      <c r="AF39" s="39">
        <f>W39-Assumptions!O$27</f>
        <v>165</v>
      </c>
      <c r="AG39" s="39">
        <f>X39-Assumptions!P$27</f>
        <v>187</v>
      </c>
    </row>
    <row r="40" spans="1:33" x14ac:dyDescent="0.2">
      <c r="A40" s="39"/>
      <c r="B40" s="39"/>
      <c r="C40" s="39"/>
      <c r="D40" s="39">
        <v>2</v>
      </c>
      <c r="E40" s="39">
        <v>8</v>
      </c>
      <c r="F40" s="39">
        <f>INDEX(Assumptions!$H$33:$P$41,$D40,$E40)</f>
        <v>791.91</v>
      </c>
      <c r="G40" s="39" t="str">
        <f>INDEX(Assumptions!$H$15:$P$24,$H$15,$D40)</f>
        <v>Hub 1</v>
      </c>
      <c r="H40" s="39" t="str">
        <f>INDEX(Assumptions!$H$15:$P$24,$H$15,$E40)</f>
        <v>Hub 3</v>
      </c>
      <c r="I40" s="39" t="b">
        <f t="shared" si="11"/>
        <v>0</v>
      </c>
      <c r="J40" s="39">
        <f>I40*(F40&lt;=Assumptions!$H$51)</f>
        <v>0</v>
      </c>
      <c r="K40" s="39">
        <f>INDEX($Y39:$AG39,$D40)</f>
        <v>0</v>
      </c>
      <c r="L40" s="39">
        <f>INDEX($Y39:$AG39,$E40)</f>
        <v>165</v>
      </c>
      <c r="M40" s="39">
        <f t="shared" si="12"/>
        <v>0</v>
      </c>
      <c r="N40" s="39">
        <f t="shared" si="13"/>
        <v>0</v>
      </c>
      <c r="O40" s="39">
        <f>-N40*F40*2*Assumptions!$H$49</f>
        <v>0</v>
      </c>
      <c r="P40" s="39">
        <f t="shared" si="2"/>
        <v>2225</v>
      </c>
      <c r="Q40" s="39">
        <f t="shared" si="3"/>
        <v>400</v>
      </c>
      <c r="R40" s="39">
        <f t="shared" si="4"/>
        <v>100</v>
      </c>
      <c r="S40" s="39">
        <f t="shared" si="5"/>
        <v>333</v>
      </c>
      <c r="T40" s="39">
        <f t="shared" si="6"/>
        <v>88</v>
      </c>
      <c r="U40" s="39">
        <f t="shared" si="7"/>
        <v>280</v>
      </c>
      <c r="V40" s="39">
        <f t="shared" si="8"/>
        <v>600</v>
      </c>
      <c r="W40" s="39">
        <f t="shared" si="9"/>
        <v>865</v>
      </c>
      <c r="X40" s="39">
        <f t="shared" si="10"/>
        <v>1087</v>
      </c>
      <c r="Y40" s="39">
        <f>P40-Assumptions!H$27</f>
        <v>-475</v>
      </c>
      <c r="Z40" s="39">
        <f>Q40-Assumptions!I$27</f>
        <v>0</v>
      </c>
      <c r="AA40" s="39">
        <f>R40-Assumptions!J$27</f>
        <v>0</v>
      </c>
      <c r="AB40" s="39">
        <f>S40-Assumptions!K$27</f>
        <v>-67</v>
      </c>
      <c r="AC40" s="39">
        <f>T40-Assumptions!L$27</f>
        <v>-12</v>
      </c>
      <c r="AD40" s="39">
        <f>U40-Assumptions!M$27</f>
        <v>-120</v>
      </c>
      <c r="AE40" s="39">
        <f>V40-Assumptions!N$27</f>
        <v>0</v>
      </c>
      <c r="AF40" s="39">
        <f>W40-Assumptions!O$27</f>
        <v>165</v>
      </c>
      <c r="AG40" s="39">
        <f>X40-Assumptions!P$27</f>
        <v>187</v>
      </c>
    </row>
    <row r="41" spans="1:33" x14ac:dyDescent="0.2">
      <c r="A41" s="39"/>
      <c r="B41" s="39"/>
      <c r="C41" s="39"/>
      <c r="D41" s="39">
        <v>6</v>
      </c>
      <c r="E41" s="39">
        <v>9</v>
      </c>
      <c r="F41" s="39">
        <f>INDEX(Assumptions!$H$33:$P$41,$D41,$E41)</f>
        <v>804.87</v>
      </c>
      <c r="G41" s="39" t="str">
        <f>INDEX(Assumptions!$H$15:$P$24,$H$15,$D41)</f>
        <v>Hub 2</v>
      </c>
      <c r="H41" s="39" t="str">
        <f>INDEX(Assumptions!$H$15:$P$24,$H$15,$E41)</f>
        <v>Hub 3</v>
      </c>
      <c r="I41" s="39" t="b">
        <f t="shared" si="11"/>
        <v>0</v>
      </c>
      <c r="J41" s="39">
        <f>I41*(F41&lt;=Assumptions!$H$51)</f>
        <v>0</v>
      </c>
      <c r="K41" s="39">
        <f>INDEX($Y40:$AG40,$D41)</f>
        <v>-120</v>
      </c>
      <c r="L41" s="39">
        <f>INDEX($Y40:$AG40,$E41)</f>
        <v>187</v>
      </c>
      <c r="M41" s="39">
        <f t="shared" si="12"/>
        <v>0</v>
      </c>
      <c r="N41" s="39">
        <f t="shared" si="13"/>
        <v>0</v>
      </c>
      <c r="O41" s="39">
        <f>-N41*F41*2*Assumptions!$H$49</f>
        <v>0</v>
      </c>
      <c r="P41" s="39">
        <f t="shared" si="2"/>
        <v>2225</v>
      </c>
      <c r="Q41" s="39">
        <f t="shared" si="3"/>
        <v>400</v>
      </c>
      <c r="R41" s="39">
        <f t="shared" si="4"/>
        <v>100</v>
      </c>
      <c r="S41" s="39">
        <f t="shared" si="5"/>
        <v>333</v>
      </c>
      <c r="T41" s="39">
        <f t="shared" si="6"/>
        <v>88</v>
      </c>
      <c r="U41" s="39">
        <f t="shared" si="7"/>
        <v>280</v>
      </c>
      <c r="V41" s="39">
        <f t="shared" si="8"/>
        <v>600</v>
      </c>
      <c r="W41" s="39">
        <f t="shared" si="9"/>
        <v>865</v>
      </c>
      <c r="X41" s="39">
        <f t="shared" si="10"/>
        <v>1087</v>
      </c>
      <c r="Y41" s="39">
        <f>P41-Assumptions!H$27</f>
        <v>-475</v>
      </c>
      <c r="Z41" s="39">
        <f>Q41-Assumptions!I$27</f>
        <v>0</v>
      </c>
      <c r="AA41" s="39">
        <f>R41-Assumptions!J$27</f>
        <v>0</v>
      </c>
      <c r="AB41" s="39">
        <f>S41-Assumptions!K$27</f>
        <v>-67</v>
      </c>
      <c r="AC41" s="39">
        <f>T41-Assumptions!L$27</f>
        <v>-12</v>
      </c>
      <c r="AD41" s="39">
        <f>U41-Assumptions!M$27</f>
        <v>-120</v>
      </c>
      <c r="AE41" s="39">
        <f>V41-Assumptions!N$27</f>
        <v>0</v>
      </c>
      <c r="AF41" s="39">
        <f>W41-Assumptions!O$27</f>
        <v>165</v>
      </c>
      <c r="AG41" s="39">
        <f>X41-Assumptions!P$27</f>
        <v>187</v>
      </c>
    </row>
    <row r="42" spans="1:33" x14ac:dyDescent="0.2">
      <c r="A42" s="39"/>
      <c r="B42" s="39"/>
      <c r="C42" s="39"/>
      <c r="D42" s="39">
        <v>3</v>
      </c>
      <c r="E42" s="39">
        <v>9</v>
      </c>
      <c r="F42" s="39">
        <f>INDEX(Assumptions!$H$33:$P$41,$D42,$E42)</f>
        <v>819.7</v>
      </c>
      <c r="G42" s="39" t="str">
        <f>INDEX(Assumptions!$H$15:$P$24,$H$15,$D42)</f>
        <v>Hub 1</v>
      </c>
      <c r="H42" s="39" t="str">
        <f>INDEX(Assumptions!$H$15:$P$24,$H$15,$E42)</f>
        <v>Hub 3</v>
      </c>
      <c r="I42" s="39" t="b">
        <f t="shared" si="11"/>
        <v>0</v>
      </c>
      <c r="J42" s="39">
        <f>I42*(F42&lt;=Assumptions!$H$51)</f>
        <v>0</v>
      </c>
      <c r="K42" s="39">
        <f>INDEX($Y41:$AG41,$D42)</f>
        <v>0</v>
      </c>
      <c r="L42" s="39">
        <f>INDEX($Y41:$AG41,$E42)</f>
        <v>187</v>
      </c>
      <c r="M42" s="39">
        <f t="shared" si="12"/>
        <v>0</v>
      </c>
      <c r="N42" s="39">
        <f t="shared" si="13"/>
        <v>0</v>
      </c>
      <c r="O42" s="39">
        <f>-N42*F42*2*Assumptions!$H$49</f>
        <v>0</v>
      </c>
      <c r="P42" s="39">
        <f t="shared" si="2"/>
        <v>2225</v>
      </c>
      <c r="Q42" s="39">
        <f t="shared" si="3"/>
        <v>400</v>
      </c>
      <c r="R42" s="39">
        <f t="shared" si="4"/>
        <v>100</v>
      </c>
      <c r="S42" s="39">
        <f t="shared" si="5"/>
        <v>333</v>
      </c>
      <c r="T42" s="39">
        <f t="shared" si="6"/>
        <v>88</v>
      </c>
      <c r="U42" s="39">
        <f t="shared" si="7"/>
        <v>280</v>
      </c>
      <c r="V42" s="39">
        <f t="shared" si="8"/>
        <v>600</v>
      </c>
      <c r="W42" s="39">
        <f t="shared" si="9"/>
        <v>865</v>
      </c>
      <c r="X42" s="39">
        <f t="shared" si="10"/>
        <v>1087</v>
      </c>
      <c r="Y42" s="39">
        <f>P42-Assumptions!H$27</f>
        <v>-475</v>
      </c>
      <c r="Z42" s="39">
        <f>Q42-Assumptions!I$27</f>
        <v>0</v>
      </c>
      <c r="AA42" s="39">
        <f>R42-Assumptions!J$27</f>
        <v>0</v>
      </c>
      <c r="AB42" s="39">
        <f>S42-Assumptions!K$27</f>
        <v>-67</v>
      </c>
      <c r="AC42" s="39">
        <f>T42-Assumptions!L$27</f>
        <v>-12</v>
      </c>
      <c r="AD42" s="39">
        <f>U42-Assumptions!M$27</f>
        <v>-120</v>
      </c>
      <c r="AE42" s="39">
        <f>V42-Assumptions!N$27</f>
        <v>0</v>
      </c>
      <c r="AF42" s="39">
        <f>W42-Assumptions!O$27</f>
        <v>165</v>
      </c>
      <c r="AG42" s="39">
        <f>X42-Assumptions!P$27</f>
        <v>187</v>
      </c>
    </row>
    <row r="43" spans="1:33" x14ac:dyDescent="0.2">
      <c r="A43" s="39"/>
      <c r="B43" s="39"/>
      <c r="C43" s="39"/>
      <c r="D43" s="39">
        <v>2</v>
      </c>
      <c r="E43" s="39">
        <v>6</v>
      </c>
      <c r="F43" s="39">
        <f>INDEX(Assumptions!$H$33:$P$41,$D43,$E43)</f>
        <v>853.92</v>
      </c>
      <c r="G43" s="39" t="str">
        <f>INDEX(Assumptions!$H$15:$P$24,$H$15,$D43)</f>
        <v>Hub 1</v>
      </c>
      <c r="H43" s="39" t="str">
        <f>INDEX(Assumptions!$H$15:$P$24,$H$15,$E43)</f>
        <v>Hub 2</v>
      </c>
      <c r="I43" s="39" t="b">
        <f t="shared" si="11"/>
        <v>0</v>
      </c>
      <c r="J43" s="39">
        <f>I43*(F43&lt;=Assumptions!$H$51)</f>
        <v>0</v>
      </c>
      <c r="K43" s="39">
        <f>INDEX($Y42:$AG42,$D43)</f>
        <v>0</v>
      </c>
      <c r="L43" s="39">
        <f>INDEX($Y42:$AG42,$E43)</f>
        <v>-120</v>
      </c>
      <c r="M43" s="39">
        <f t="shared" si="12"/>
        <v>0</v>
      </c>
      <c r="N43" s="39">
        <f t="shared" si="13"/>
        <v>0</v>
      </c>
      <c r="O43" s="39">
        <f>-N43*F43*2*Assumptions!$H$49</f>
        <v>0</v>
      </c>
      <c r="P43" s="39">
        <f t="shared" si="2"/>
        <v>2225</v>
      </c>
      <c r="Q43" s="39">
        <f t="shared" si="3"/>
        <v>400</v>
      </c>
      <c r="R43" s="39">
        <f t="shared" si="4"/>
        <v>100</v>
      </c>
      <c r="S43" s="39">
        <f t="shared" si="5"/>
        <v>333</v>
      </c>
      <c r="T43" s="39">
        <f t="shared" si="6"/>
        <v>88</v>
      </c>
      <c r="U43" s="39">
        <f t="shared" si="7"/>
        <v>280</v>
      </c>
      <c r="V43" s="39">
        <f t="shared" si="8"/>
        <v>600</v>
      </c>
      <c r="W43" s="39">
        <f t="shared" si="9"/>
        <v>865</v>
      </c>
      <c r="X43" s="39">
        <f t="shared" si="10"/>
        <v>1087</v>
      </c>
      <c r="Y43" s="39">
        <f>P43-Assumptions!H$27</f>
        <v>-475</v>
      </c>
      <c r="Z43" s="39">
        <f>Q43-Assumptions!I$27</f>
        <v>0</v>
      </c>
      <c r="AA43" s="39">
        <f>R43-Assumptions!J$27</f>
        <v>0</v>
      </c>
      <c r="AB43" s="39">
        <f>S43-Assumptions!K$27</f>
        <v>-67</v>
      </c>
      <c r="AC43" s="39">
        <f>T43-Assumptions!L$27</f>
        <v>-12</v>
      </c>
      <c r="AD43" s="39">
        <f>U43-Assumptions!M$27</f>
        <v>-120</v>
      </c>
      <c r="AE43" s="39">
        <f>V43-Assumptions!N$27</f>
        <v>0</v>
      </c>
      <c r="AF43" s="39">
        <f>W43-Assumptions!O$27</f>
        <v>165</v>
      </c>
      <c r="AG43" s="39">
        <f>X43-Assumptions!P$27</f>
        <v>187</v>
      </c>
    </row>
    <row r="44" spans="1:33" x14ac:dyDescent="0.2">
      <c r="A44" s="39"/>
      <c r="B44" s="39"/>
      <c r="C44" s="39"/>
      <c r="D44" s="39">
        <v>4</v>
      </c>
      <c r="E44" s="39">
        <v>8</v>
      </c>
      <c r="F44" s="39">
        <f>INDEX(Assumptions!$H$33:$P$41,$D44,$E44)</f>
        <v>882.81</v>
      </c>
      <c r="G44" s="39" t="str">
        <f>INDEX(Assumptions!$H$15:$P$24,$H$15,$D44)</f>
        <v>Hub 2</v>
      </c>
      <c r="H44" s="39" t="str">
        <f>INDEX(Assumptions!$H$15:$P$24,$H$15,$E44)</f>
        <v>Hub 3</v>
      </c>
      <c r="I44" s="39" t="b">
        <f t="shared" si="11"/>
        <v>0</v>
      </c>
      <c r="J44" s="39">
        <f>I44*(F44&lt;=Assumptions!$H$51)</f>
        <v>0</v>
      </c>
      <c r="K44" s="39">
        <f>INDEX($Y43:$AG43,$D44)</f>
        <v>-67</v>
      </c>
      <c r="L44" s="39">
        <f>INDEX($Y43:$AG43,$E44)</f>
        <v>165</v>
      </c>
      <c r="M44" s="39">
        <f t="shared" si="12"/>
        <v>0</v>
      </c>
      <c r="N44" s="39">
        <f t="shared" si="13"/>
        <v>0</v>
      </c>
      <c r="O44" s="39">
        <f>-N44*F44*2*Assumptions!$H$49</f>
        <v>0</v>
      </c>
      <c r="P44" s="39">
        <f t="shared" si="2"/>
        <v>2225</v>
      </c>
      <c r="Q44" s="39">
        <f t="shared" si="3"/>
        <v>400</v>
      </c>
      <c r="R44" s="39">
        <f t="shared" si="4"/>
        <v>100</v>
      </c>
      <c r="S44" s="39">
        <f t="shared" si="5"/>
        <v>333</v>
      </c>
      <c r="T44" s="39">
        <f t="shared" si="6"/>
        <v>88</v>
      </c>
      <c r="U44" s="39">
        <f t="shared" si="7"/>
        <v>280</v>
      </c>
      <c r="V44" s="39">
        <f t="shared" si="8"/>
        <v>600</v>
      </c>
      <c r="W44" s="39">
        <f t="shared" si="9"/>
        <v>865</v>
      </c>
      <c r="X44" s="39">
        <f t="shared" si="10"/>
        <v>1087</v>
      </c>
      <c r="Y44" s="39">
        <f>P44-Assumptions!H$27</f>
        <v>-475</v>
      </c>
      <c r="Z44" s="39">
        <f>Q44-Assumptions!I$27</f>
        <v>0</v>
      </c>
      <c r="AA44" s="39">
        <f>R44-Assumptions!J$27</f>
        <v>0</v>
      </c>
      <c r="AB44" s="39">
        <f>S44-Assumptions!K$27</f>
        <v>-67</v>
      </c>
      <c r="AC44" s="39">
        <f>T44-Assumptions!L$27</f>
        <v>-12</v>
      </c>
      <c r="AD44" s="39">
        <f>U44-Assumptions!M$27</f>
        <v>-120</v>
      </c>
      <c r="AE44" s="39">
        <f>V44-Assumptions!N$27</f>
        <v>0</v>
      </c>
      <c r="AF44" s="39">
        <f>W44-Assumptions!O$27</f>
        <v>165</v>
      </c>
      <c r="AG44" s="39">
        <f>X44-Assumptions!P$27</f>
        <v>187</v>
      </c>
    </row>
    <row r="45" spans="1:33" x14ac:dyDescent="0.2">
      <c r="A45" s="39"/>
      <c r="B45" s="39"/>
      <c r="C45" s="39"/>
      <c r="D45" s="39">
        <v>4</v>
      </c>
      <c r="E45" s="39">
        <v>9</v>
      </c>
      <c r="F45" s="39">
        <f>INDEX(Assumptions!$H$33:$P$41,$D45,$E45)</f>
        <v>908.42</v>
      </c>
      <c r="G45" s="39" t="str">
        <f>INDEX(Assumptions!$H$15:$P$24,$H$15,$D45)</f>
        <v>Hub 2</v>
      </c>
      <c r="H45" s="39" t="str">
        <f>INDEX(Assumptions!$H$15:$P$24,$H$15,$E45)</f>
        <v>Hub 3</v>
      </c>
      <c r="I45" s="39" t="b">
        <f t="shared" si="11"/>
        <v>0</v>
      </c>
      <c r="J45" s="39">
        <f>I45*(F45&lt;=Assumptions!$H$51)</f>
        <v>0</v>
      </c>
      <c r="K45" s="39">
        <f>INDEX($Y44:$AG44,$D45)</f>
        <v>-67</v>
      </c>
      <c r="L45" s="39">
        <f>INDEX($Y44:$AG44,$E45)</f>
        <v>187</v>
      </c>
      <c r="M45" s="39">
        <f t="shared" si="12"/>
        <v>0</v>
      </c>
      <c r="N45" s="39">
        <f t="shared" si="13"/>
        <v>0</v>
      </c>
      <c r="O45" s="39">
        <f>-N45*F45*2*Assumptions!$H$49</f>
        <v>0</v>
      </c>
      <c r="P45" s="39">
        <f t="shared" si="2"/>
        <v>2225</v>
      </c>
      <c r="Q45" s="39">
        <f t="shared" si="3"/>
        <v>400</v>
      </c>
      <c r="R45" s="39">
        <f t="shared" si="4"/>
        <v>100</v>
      </c>
      <c r="S45" s="39">
        <f t="shared" si="5"/>
        <v>333</v>
      </c>
      <c r="T45" s="39">
        <f t="shared" si="6"/>
        <v>88</v>
      </c>
      <c r="U45" s="39">
        <f t="shared" si="7"/>
        <v>280</v>
      </c>
      <c r="V45" s="39">
        <f t="shared" si="8"/>
        <v>600</v>
      </c>
      <c r="W45" s="39">
        <f t="shared" si="9"/>
        <v>865</v>
      </c>
      <c r="X45" s="39">
        <f t="shared" si="10"/>
        <v>1087</v>
      </c>
      <c r="Y45" s="39">
        <f>P45-Assumptions!H$27</f>
        <v>-475</v>
      </c>
      <c r="Z45" s="39">
        <f>Q45-Assumptions!I$27</f>
        <v>0</v>
      </c>
      <c r="AA45" s="39">
        <f>R45-Assumptions!J$27</f>
        <v>0</v>
      </c>
      <c r="AB45" s="39">
        <f>S45-Assumptions!K$27</f>
        <v>-67</v>
      </c>
      <c r="AC45" s="39">
        <f>T45-Assumptions!L$27</f>
        <v>-12</v>
      </c>
      <c r="AD45" s="39">
        <f>U45-Assumptions!M$27</f>
        <v>-120</v>
      </c>
      <c r="AE45" s="39">
        <f>V45-Assumptions!N$27</f>
        <v>0</v>
      </c>
      <c r="AF45" s="39">
        <f>W45-Assumptions!O$27</f>
        <v>165</v>
      </c>
      <c r="AG45" s="39">
        <f>X45-Assumptions!P$27</f>
        <v>187</v>
      </c>
    </row>
    <row r="46" spans="1:33" x14ac:dyDescent="0.2">
      <c r="A46" s="39"/>
      <c r="B46" s="39"/>
      <c r="C46" s="39"/>
      <c r="D46" s="39">
        <v>7</v>
      </c>
      <c r="E46" s="39">
        <v>9</v>
      </c>
      <c r="F46" s="39">
        <f>INDEX(Assumptions!$H$33:$P$41,$D46,$E46)</f>
        <v>913.33</v>
      </c>
      <c r="G46" s="39" t="str">
        <f>INDEX(Assumptions!$H$15:$P$24,$H$15,$D46)</f>
        <v>Hub 3</v>
      </c>
      <c r="H46" s="39" t="str">
        <f>INDEX(Assumptions!$H$15:$P$24,$H$15,$E46)</f>
        <v>Hub 3</v>
      </c>
      <c r="I46" s="39" t="b">
        <f t="shared" si="11"/>
        <v>1</v>
      </c>
      <c r="J46" s="39">
        <f>I46*(F46&lt;=Assumptions!$H$51)</f>
        <v>0</v>
      </c>
      <c r="K46" s="39">
        <f>INDEX($Y45:$AG45,$D46)</f>
        <v>0</v>
      </c>
      <c r="L46" s="39">
        <f>INDEX($Y45:$AG45,$E46)</f>
        <v>187</v>
      </c>
      <c r="M46" s="39">
        <f t="shared" si="12"/>
        <v>0</v>
      </c>
      <c r="N46" s="39">
        <f t="shared" si="13"/>
        <v>0</v>
      </c>
      <c r="O46" s="39">
        <f>-N46*F46*2*Assumptions!$H$49</f>
        <v>0</v>
      </c>
      <c r="P46" s="39">
        <f t="shared" si="2"/>
        <v>2225</v>
      </c>
      <c r="Q46" s="39">
        <f t="shared" si="3"/>
        <v>400</v>
      </c>
      <c r="R46" s="39">
        <f t="shared" si="4"/>
        <v>100</v>
      </c>
      <c r="S46" s="39">
        <f t="shared" si="5"/>
        <v>333</v>
      </c>
      <c r="T46" s="39">
        <f t="shared" si="6"/>
        <v>88</v>
      </c>
      <c r="U46" s="39">
        <f t="shared" si="7"/>
        <v>280</v>
      </c>
      <c r="V46" s="39">
        <f t="shared" si="8"/>
        <v>600</v>
      </c>
      <c r="W46" s="39">
        <f t="shared" si="9"/>
        <v>865</v>
      </c>
      <c r="X46" s="39">
        <f t="shared" si="10"/>
        <v>1087</v>
      </c>
      <c r="Y46" s="39">
        <f>P46-Assumptions!H$27</f>
        <v>-475</v>
      </c>
      <c r="Z46" s="39">
        <f>Q46-Assumptions!I$27</f>
        <v>0</v>
      </c>
      <c r="AA46" s="39">
        <f>R46-Assumptions!J$27</f>
        <v>0</v>
      </c>
      <c r="AB46" s="39">
        <f>S46-Assumptions!K$27</f>
        <v>-67</v>
      </c>
      <c r="AC46" s="39">
        <f>T46-Assumptions!L$27</f>
        <v>-12</v>
      </c>
      <c r="AD46" s="39">
        <f>U46-Assumptions!M$27</f>
        <v>-120</v>
      </c>
      <c r="AE46" s="39">
        <f>V46-Assumptions!N$27</f>
        <v>0</v>
      </c>
      <c r="AF46" s="39">
        <f>W46-Assumptions!O$27</f>
        <v>165</v>
      </c>
      <c r="AG46" s="39">
        <f>X46-Assumptions!P$27</f>
        <v>187</v>
      </c>
    </row>
    <row r="47" spans="1:33" x14ac:dyDescent="0.2">
      <c r="A47" s="39"/>
      <c r="B47" s="39"/>
      <c r="C47" s="39"/>
      <c r="D47" s="39">
        <v>3</v>
      </c>
      <c r="E47" s="39">
        <v>8</v>
      </c>
      <c r="F47" s="39">
        <f>INDEX(Assumptions!$H$33:$P$41,$D47,$E47)</f>
        <v>976.13</v>
      </c>
      <c r="G47" s="39" t="str">
        <f>INDEX(Assumptions!$H$15:$P$24,$H$15,$D47)</f>
        <v>Hub 1</v>
      </c>
      <c r="H47" s="39" t="str">
        <f>INDEX(Assumptions!$H$15:$P$24,$H$15,$E47)</f>
        <v>Hub 3</v>
      </c>
      <c r="I47" s="39" t="b">
        <f t="shared" si="11"/>
        <v>0</v>
      </c>
      <c r="J47" s="39">
        <f>I47*(F47&lt;=Assumptions!$H$51)</f>
        <v>0</v>
      </c>
      <c r="K47" s="39">
        <f>INDEX($Y46:$AG46,$D47)</f>
        <v>0</v>
      </c>
      <c r="L47" s="39">
        <f>INDEX($Y46:$AG46,$E47)</f>
        <v>165</v>
      </c>
      <c r="M47" s="39">
        <f t="shared" si="12"/>
        <v>0</v>
      </c>
      <c r="N47" s="39">
        <f t="shared" si="13"/>
        <v>0</v>
      </c>
      <c r="O47" s="39">
        <f>-N47*F47*2*Assumptions!$H$49</f>
        <v>0</v>
      </c>
      <c r="P47" s="39">
        <f t="shared" si="2"/>
        <v>2225</v>
      </c>
      <c r="Q47" s="39">
        <f t="shared" si="3"/>
        <v>400</v>
      </c>
      <c r="R47" s="39">
        <f t="shared" si="4"/>
        <v>100</v>
      </c>
      <c r="S47" s="39">
        <f t="shared" si="5"/>
        <v>333</v>
      </c>
      <c r="T47" s="39">
        <f t="shared" si="6"/>
        <v>88</v>
      </c>
      <c r="U47" s="39">
        <f t="shared" si="7"/>
        <v>280</v>
      </c>
      <c r="V47" s="39">
        <f t="shared" si="8"/>
        <v>600</v>
      </c>
      <c r="W47" s="39">
        <f t="shared" si="9"/>
        <v>865</v>
      </c>
      <c r="X47" s="39">
        <f t="shared" si="10"/>
        <v>1087</v>
      </c>
      <c r="Y47" s="39">
        <f>P47-Assumptions!H$27</f>
        <v>-475</v>
      </c>
      <c r="Z47" s="39">
        <f>Q47-Assumptions!I$27</f>
        <v>0</v>
      </c>
      <c r="AA47" s="39">
        <f>R47-Assumptions!J$27</f>
        <v>0</v>
      </c>
      <c r="AB47" s="39">
        <f>S47-Assumptions!K$27</f>
        <v>-67</v>
      </c>
      <c r="AC47" s="39">
        <f>T47-Assumptions!L$27</f>
        <v>-12</v>
      </c>
      <c r="AD47" s="39">
        <f>U47-Assumptions!M$27</f>
        <v>-120</v>
      </c>
      <c r="AE47" s="39">
        <f>V47-Assumptions!N$27</f>
        <v>0</v>
      </c>
      <c r="AF47" s="39">
        <f>W47-Assumptions!O$27</f>
        <v>165</v>
      </c>
      <c r="AG47" s="39">
        <f>X47-Assumptions!P$27</f>
        <v>187</v>
      </c>
    </row>
    <row r="48" spans="1:33" x14ac:dyDescent="0.2">
      <c r="A48" s="39"/>
      <c r="B48" s="39"/>
      <c r="C48" s="39"/>
      <c r="D48" s="39">
        <v>5</v>
      </c>
      <c r="E48" s="39">
        <v>8</v>
      </c>
      <c r="F48" s="39">
        <f>INDEX(Assumptions!$H$33:$P$41,$D48,$E48)</f>
        <v>993.16</v>
      </c>
      <c r="G48" s="39" t="str">
        <f>INDEX(Assumptions!$H$15:$P$24,$H$15,$D48)</f>
        <v>Hub 2</v>
      </c>
      <c r="H48" s="39" t="str">
        <f>INDEX(Assumptions!$H$15:$P$24,$H$15,$E48)</f>
        <v>Hub 3</v>
      </c>
      <c r="I48" s="39" t="b">
        <f t="shared" si="11"/>
        <v>0</v>
      </c>
      <c r="J48" s="39">
        <f>I48*(F48&lt;=Assumptions!$H$51)</f>
        <v>0</v>
      </c>
      <c r="K48" s="39">
        <f>INDEX($Y47:$AG47,$D48)</f>
        <v>-12</v>
      </c>
      <c r="L48" s="39">
        <f>INDEX($Y47:$AG47,$E48)</f>
        <v>165</v>
      </c>
      <c r="M48" s="39">
        <f t="shared" si="12"/>
        <v>0</v>
      </c>
      <c r="N48" s="39">
        <f t="shared" si="13"/>
        <v>0</v>
      </c>
      <c r="O48" s="39">
        <f>-N48*F48*2*Assumptions!$H$49</f>
        <v>0</v>
      </c>
      <c r="P48" s="39">
        <f t="shared" si="2"/>
        <v>2225</v>
      </c>
      <c r="Q48" s="39">
        <f t="shared" si="3"/>
        <v>400</v>
      </c>
      <c r="R48" s="39">
        <f t="shared" si="4"/>
        <v>100</v>
      </c>
      <c r="S48" s="39">
        <f t="shared" si="5"/>
        <v>333</v>
      </c>
      <c r="T48" s="39">
        <f t="shared" si="6"/>
        <v>88</v>
      </c>
      <c r="U48" s="39">
        <f t="shared" si="7"/>
        <v>280</v>
      </c>
      <c r="V48" s="39">
        <f t="shared" si="8"/>
        <v>600</v>
      </c>
      <c r="W48" s="39">
        <f t="shared" si="9"/>
        <v>865</v>
      </c>
      <c r="X48" s="39">
        <f t="shared" si="10"/>
        <v>1087</v>
      </c>
      <c r="Y48" s="39">
        <f>P48-Assumptions!H$27</f>
        <v>-475</v>
      </c>
      <c r="Z48" s="39">
        <f>Q48-Assumptions!I$27</f>
        <v>0</v>
      </c>
      <c r="AA48" s="39">
        <f>R48-Assumptions!J$27</f>
        <v>0</v>
      </c>
      <c r="AB48" s="39">
        <f>S48-Assumptions!K$27</f>
        <v>-67</v>
      </c>
      <c r="AC48" s="39">
        <f>T48-Assumptions!L$27</f>
        <v>-12</v>
      </c>
      <c r="AD48" s="39">
        <f>U48-Assumptions!M$27</f>
        <v>-120</v>
      </c>
      <c r="AE48" s="39">
        <f>V48-Assumptions!N$27</f>
        <v>0</v>
      </c>
      <c r="AF48" s="39">
        <f>W48-Assumptions!O$27</f>
        <v>165</v>
      </c>
      <c r="AG48" s="39">
        <f>X48-Assumptions!P$27</f>
        <v>187</v>
      </c>
    </row>
    <row r="49" spans="1:33" x14ac:dyDescent="0.2">
      <c r="A49" s="39"/>
      <c r="B49" s="39"/>
      <c r="C49" s="39"/>
      <c r="D49" s="39">
        <v>3</v>
      </c>
      <c r="E49" s="39">
        <v>7</v>
      </c>
      <c r="F49" s="39">
        <f>INDEX(Assumptions!$H$33:$P$41,$D49,$E49)</f>
        <v>1095.05</v>
      </c>
      <c r="G49" s="39" t="str">
        <f>INDEX(Assumptions!$H$15:$P$24,$H$15,$D49)</f>
        <v>Hub 1</v>
      </c>
      <c r="H49" s="39" t="str">
        <f>INDEX(Assumptions!$H$15:$P$24,$H$15,$E49)</f>
        <v>Hub 3</v>
      </c>
      <c r="I49" s="39" t="b">
        <f t="shared" si="11"/>
        <v>0</v>
      </c>
      <c r="J49" s="39">
        <f>I49*(F49&lt;=Assumptions!$H$51)</f>
        <v>0</v>
      </c>
      <c r="K49" s="39">
        <f>INDEX($Y48:$AG48,$D49)</f>
        <v>0</v>
      </c>
      <c r="L49" s="39">
        <f>INDEX($Y48:$AG48,$E49)</f>
        <v>0</v>
      </c>
      <c r="M49" s="39">
        <f t="shared" si="12"/>
        <v>0</v>
      </c>
      <c r="N49" s="39">
        <f t="shared" si="13"/>
        <v>0</v>
      </c>
      <c r="O49" s="39">
        <f>-N49*F49*2*Assumptions!$H$49</f>
        <v>0</v>
      </c>
      <c r="P49" s="39">
        <f t="shared" si="2"/>
        <v>2225</v>
      </c>
      <c r="Q49" s="39">
        <f t="shared" si="3"/>
        <v>400</v>
      </c>
      <c r="R49" s="39">
        <f t="shared" si="4"/>
        <v>100</v>
      </c>
      <c r="S49" s="39">
        <f t="shared" si="5"/>
        <v>333</v>
      </c>
      <c r="T49" s="39">
        <f t="shared" si="6"/>
        <v>88</v>
      </c>
      <c r="U49" s="39">
        <f t="shared" si="7"/>
        <v>280</v>
      </c>
      <c r="V49" s="39">
        <f t="shared" si="8"/>
        <v>600</v>
      </c>
      <c r="W49" s="39">
        <f t="shared" si="9"/>
        <v>865</v>
      </c>
      <c r="X49" s="39">
        <f t="shared" si="10"/>
        <v>1087</v>
      </c>
      <c r="Y49" s="39">
        <f>P49-Assumptions!H$27</f>
        <v>-475</v>
      </c>
      <c r="Z49" s="39">
        <f>Q49-Assumptions!I$27</f>
        <v>0</v>
      </c>
      <c r="AA49" s="39">
        <f>R49-Assumptions!J$27</f>
        <v>0</v>
      </c>
      <c r="AB49" s="39">
        <f>S49-Assumptions!K$27</f>
        <v>-67</v>
      </c>
      <c r="AC49" s="39">
        <f>T49-Assumptions!L$27</f>
        <v>-12</v>
      </c>
      <c r="AD49" s="39">
        <f>U49-Assumptions!M$27</f>
        <v>-120</v>
      </c>
      <c r="AE49" s="39">
        <f>V49-Assumptions!N$27</f>
        <v>0</v>
      </c>
      <c r="AF49" s="39">
        <f>W49-Assumptions!O$27</f>
        <v>165</v>
      </c>
      <c r="AG49" s="39">
        <f>X49-Assumptions!P$27</f>
        <v>187</v>
      </c>
    </row>
    <row r="50" spans="1:33" x14ac:dyDescent="0.2">
      <c r="A50" s="39"/>
      <c r="B50" s="39"/>
      <c r="C50" s="39"/>
      <c r="D50" s="39">
        <v>2</v>
      </c>
      <c r="E50" s="39">
        <v>5</v>
      </c>
      <c r="F50" s="39">
        <f>INDEX(Assumptions!$H$33:$P$41,$D50,$E50)</f>
        <v>1096.43</v>
      </c>
      <c r="G50" s="39" t="str">
        <f>INDEX(Assumptions!$H$15:$P$24,$H$15,$D50)</f>
        <v>Hub 1</v>
      </c>
      <c r="H50" s="39" t="str">
        <f>INDEX(Assumptions!$H$15:$P$24,$H$15,$E50)</f>
        <v>Hub 2</v>
      </c>
      <c r="I50" s="39" t="b">
        <f t="shared" si="11"/>
        <v>0</v>
      </c>
      <c r="J50" s="39">
        <f>I50*(F50&lt;=Assumptions!$H$51)</f>
        <v>0</v>
      </c>
      <c r="K50" s="39">
        <f>INDEX($Y49:$AG49,$D50)</f>
        <v>0</v>
      </c>
      <c r="L50" s="39">
        <f>INDEX($Y49:$AG49,$E50)</f>
        <v>-12</v>
      </c>
      <c r="M50" s="39">
        <f t="shared" si="12"/>
        <v>0</v>
      </c>
      <c r="N50" s="39">
        <f t="shared" si="13"/>
        <v>0</v>
      </c>
      <c r="O50" s="39">
        <f>-N50*F50*2*Assumptions!$H$49</f>
        <v>0</v>
      </c>
      <c r="P50" s="39">
        <f t="shared" si="2"/>
        <v>2225</v>
      </c>
      <c r="Q50" s="39">
        <f t="shared" si="3"/>
        <v>400</v>
      </c>
      <c r="R50" s="39">
        <f t="shared" si="4"/>
        <v>100</v>
      </c>
      <c r="S50" s="39">
        <f t="shared" si="5"/>
        <v>333</v>
      </c>
      <c r="T50" s="39">
        <f t="shared" si="6"/>
        <v>88</v>
      </c>
      <c r="U50" s="39">
        <f t="shared" si="7"/>
        <v>280</v>
      </c>
      <c r="V50" s="39">
        <f t="shared" si="8"/>
        <v>600</v>
      </c>
      <c r="W50" s="39">
        <f t="shared" si="9"/>
        <v>865</v>
      </c>
      <c r="X50" s="39">
        <f t="shared" si="10"/>
        <v>1087</v>
      </c>
      <c r="Y50" s="39">
        <f>P50-Assumptions!H$27</f>
        <v>-475</v>
      </c>
      <c r="Z50" s="39">
        <f>Q50-Assumptions!I$27</f>
        <v>0</v>
      </c>
      <c r="AA50" s="39">
        <f>R50-Assumptions!J$27</f>
        <v>0</v>
      </c>
      <c r="AB50" s="39">
        <f>S50-Assumptions!K$27</f>
        <v>-67</v>
      </c>
      <c r="AC50" s="39">
        <f>T50-Assumptions!L$27</f>
        <v>-12</v>
      </c>
      <c r="AD50" s="39">
        <f>U50-Assumptions!M$27</f>
        <v>-120</v>
      </c>
      <c r="AE50" s="39">
        <f>V50-Assumptions!N$27</f>
        <v>0</v>
      </c>
      <c r="AF50" s="39">
        <f>W50-Assumptions!O$27</f>
        <v>165</v>
      </c>
      <c r="AG50" s="39">
        <f>X50-Assumptions!P$27</f>
        <v>187</v>
      </c>
    </row>
    <row r="51" spans="1:33" x14ac:dyDescent="0.2">
      <c r="A51" s="39"/>
      <c r="B51" s="39"/>
      <c r="C51" s="39"/>
      <c r="D51" s="39">
        <v>5</v>
      </c>
      <c r="E51" s="39">
        <v>9</v>
      </c>
      <c r="F51" s="39">
        <f>INDEX(Assumptions!$H$33:$P$41,$D51,$E51)</f>
        <v>1133.92</v>
      </c>
      <c r="G51" s="39" t="str">
        <f>INDEX(Assumptions!$H$15:$P$24,$H$15,$D51)</f>
        <v>Hub 2</v>
      </c>
      <c r="H51" s="39" t="str">
        <f>INDEX(Assumptions!$H$15:$P$24,$H$15,$E51)</f>
        <v>Hub 3</v>
      </c>
      <c r="I51" s="39" t="b">
        <f t="shared" si="11"/>
        <v>0</v>
      </c>
      <c r="J51" s="39">
        <f>I51*(F51&lt;=Assumptions!$H$51)</f>
        <v>0</v>
      </c>
      <c r="K51" s="39">
        <f>INDEX($Y50:$AG50,$D51)</f>
        <v>-12</v>
      </c>
      <c r="L51" s="39">
        <f>INDEX($Y50:$AG50,$E51)</f>
        <v>187</v>
      </c>
      <c r="M51" s="39">
        <f t="shared" si="12"/>
        <v>0</v>
      </c>
      <c r="N51" s="39">
        <f t="shared" si="13"/>
        <v>0</v>
      </c>
      <c r="O51" s="39">
        <f>-N51*F51*2*Assumptions!$H$49</f>
        <v>0</v>
      </c>
      <c r="P51" s="39">
        <f t="shared" si="2"/>
        <v>2225</v>
      </c>
      <c r="Q51" s="39">
        <f t="shared" si="3"/>
        <v>400</v>
      </c>
      <c r="R51" s="39">
        <f t="shared" si="4"/>
        <v>100</v>
      </c>
      <c r="S51" s="39">
        <f t="shared" si="5"/>
        <v>333</v>
      </c>
      <c r="T51" s="39">
        <f t="shared" si="6"/>
        <v>88</v>
      </c>
      <c r="U51" s="39">
        <f t="shared" si="7"/>
        <v>280</v>
      </c>
      <c r="V51" s="39">
        <f t="shared" si="8"/>
        <v>600</v>
      </c>
      <c r="W51" s="39">
        <f t="shared" si="9"/>
        <v>865</v>
      </c>
      <c r="X51" s="39">
        <f t="shared" si="10"/>
        <v>1087</v>
      </c>
      <c r="Y51" s="39">
        <f>P51-Assumptions!H$27</f>
        <v>-475</v>
      </c>
      <c r="Z51" s="39">
        <f>Q51-Assumptions!I$27</f>
        <v>0</v>
      </c>
      <c r="AA51" s="39">
        <f>R51-Assumptions!J$27</f>
        <v>0</v>
      </c>
      <c r="AB51" s="39">
        <f>S51-Assumptions!K$27</f>
        <v>-67</v>
      </c>
      <c r="AC51" s="39">
        <f>T51-Assumptions!L$27</f>
        <v>-12</v>
      </c>
      <c r="AD51" s="39">
        <f>U51-Assumptions!M$27</f>
        <v>-120</v>
      </c>
      <c r="AE51" s="39">
        <f>V51-Assumptions!N$27</f>
        <v>0</v>
      </c>
      <c r="AF51" s="39">
        <f>W51-Assumptions!O$27</f>
        <v>165</v>
      </c>
      <c r="AG51" s="39">
        <f>X51-Assumptions!P$27</f>
        <v>187</v>
      </c>
    </row>
    <row r="52" spans="1:33" x14ac:dyDescent="0.2">
      <c r="A52" s="39"/>
      <c r="B52" s="39"/>
      <c r="C52" s="39"/>
      <c r="D52" s="39">
        <v>2</v>
      </c>
      <c r="E52" s="39">
        <v>7</v>
      </c>
      <c r="F52" s="39">
        <f>INDEX(Assumptions!$H$33:$P$41,$D52,$E52)</f>
        <v>1150.6500000000001</v>
      </c>
      <c r="G52" s="39" t="str">
        <f>INDEX(Assumptions!$H$15:$P$24,$H$15,$D52)</f>
        <v>Hub 1</v>
      </c>
      <c r="H52" s="39" t="str">
        <f>INDEX(Assumptions!$H$15:$P$24,$H$15,$E52)</f>
        <v>Hub 3</v>
      </c>
      <c r="I52" s="39" t="b">
        <f t="shared" si="11"/>
        <v>0</v>
      </c>
      <c r="J52" s="39">
        <f>I52*(F52&lt;=Assumptions!$H$51)</f>
        <v>0</v>
      </c>
      <c r="K52" s="39">
        <f>INDEX($Y51:$AG51,$D52)</f>
        <v>0</v>
      </c>
      <c r="L52" s="39">
        <f>INDEX($Y51:$AG51,$E52)</f>
        <v>0</v>
      </c>
      <c r="M52" s="39">
        <f t="shared" si="12"/>
        <v>0</v>
      </c>
      <c r="N52" s="39">
        <f t="shared" si="13"/>
        <v>0</v>
      </c>
      <c r="O52" s="39">
        <f>-N52*F52*2*Assumptions!$H$49</f>
        <v>0</v>
      </c>
      <c r="P52" s="39">
        <f t="shared" si="2"/>
        <v>2225</v>
      </c>
      <c r="Q52" s="39">
        <f t="shared" si="3"/>
        <v>400</v>
      </c>
      <c r="R52" s="39">
        <f t="shared" si="4"/>
        <v>100</v>
      </c>
      <c r="S52" s="39">
        <f t="shared" si="5"/>
        <v>333</v>
      </c>
      <c r="T52" s="39">
        <f t="shared" si="6"/>
        <v>88</v>
      </c>
      <c r="U52" s="39">
        <f t="shared" si="7"/>
        <v>280</v>
      </c>
      <c r="V52" s="39">
        <f t="shared" si="8"/>
        <v>600</v>
      </c>
      <c r="W52" s="39">
        <f t="shared" si="9"/>
        <v>865</v>
      </c>
      <c r="X52" s="39">
        <f t="shared" si="10"/>
        <v>1087</v>
      </c>
      <c r="Y52" s="39">
        <f>P52-Assumptions!H$27</f>
        <v>-475</v>
      </c>
      <c r="Z52" s="39">
        <f>Q52-Assumptions!I$27</f>
        <v>0</v>
      </c>
      <c r="AA52" s="39">
        <f>R52-Assumptions!J$27</f>
        <v>0</v>
      </c>
      <c r="AB52" s="39">
        <f>S52-Assumptions!K$27</f>
        <v>-67</v>
      </c>
      <c r="AC52" s="39">
        <f>T52-Assumptions!L$27</f>
        <v>-12</v>
      </c>
      <c r="AD52" s="39">
        <f>U52-Assumptions!M$27</f>
        <v>-120</v>
      </c>
      <c r="AE52" s="39">
        <f>V52-Assumptions!N$27</f>
        <v>0</v>
      </c>
      <c r="AF52" s="39">
        <f>W52-Assumptions!O$27</f>
        <v>165</v>
      </c>
      <c r="AG52" s="39">
        <f>X52-Assumptions!P$27</f>
        <v>187</v>
      </c>
    </row>
    <row r="53" spans="1:33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  <row r="54" spans="1:33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X54" s="40" t="s">
        <v>80</v>
      </c>
      <c r="Y54" s="39">
        <f>MAX(Y52,0)*Assumptions!$H$48</f>
        <v>0</v>
      </c>
      <c r="Z54" s="39">
        <f>MAX(Z52,0)*Assumptions!$H$48</f>
        <v>0</v>
      </c>
      <c r="AA54" s="39">
        <f>MAX(AA52,0)*Assumptions!$H$48</f>
        <v>0</v>
      </c>
      <c r="AB54" s="39">
        <f>MAX(AB52,0)*Assumptions!$H$48</f>
        <v>0</v>
      </c>
      <c r="AC54" s="39">
        <f>MAX(AC52,0)*Assumptions!$H$48</f>
        <v>0</v>
      </c>
      <c r="AD54" s="39">
        <f>MAX(AD52,0)*Assumptions!$H$48</f>
        <v>0</v>
      </c>
      <c r="AE54" s="39">
        <f>MAX(AE52,0)*Assumptions!$H$48</f>
        <v>0</v>
      </c>
      <c r="AF54" s="39">
        <f>MAX(AF52,0)*Assumptions!$H$48</f>
        <v>-82500</v>
      </c>
      <c r="AG54" s="39">
        <f>MAX(AG52,0)*Assumptions!$H$48</f>
        <v>-93500</v>
      </c>
    </row>
    <row r="55" spans="1:33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</row>
    <row r="56" spans="1:33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 t="s">
        <v>81</v>
      </c>
      <c r="P56" s="39">
        <f>MIN(P52,Assumptions!H$27)*Assumptions!$H$47</f>
        <v>4450000</v>
      </c>
      <c r="Q56" s="39">
        <f>MIN(Q52,Assumptions!I$27)*Assumptions!$H$47</f>
        <v>800000</v>
      </c>
      <c r="R56" s="39">
        <f>MIN(R52,Assumptions!J$27)*Assumptions!$H$47</f>
        <v>200000</v>
      </c>
      <c r="S56" s="39">
        <f>MIN(S52,Assumptions!K$27)*Assumptions!$H$47</f>
        <v>666000</v>
      </c>
      <c r="T56" s="39">
        <f>MIN(T52,Assumptions!L$27)*Assumptions!$H$47</f>
        <v>176000</v>
      </c>
      <c r="U56" s="39">
        <f>MIN(U52,Assumptions!M$27)*Assumptions!$H$47</f>
        <v>560000</v>
      </c>
      <c r="V56" s="39">
        <f>MIN(V52,Assumptions!N$27)*Assumptions!$H$47</f>
        <v>1200000</v>
      </c>
      <c r="W56" s="39">
        <f>MIN(W52,Assumptions!O$27)*Assumptions!$H$47</f>
        <v>1400000</v>
      </c>
      <c r="X56" s="39">
        <f>MIN(X52,Assumptions!P$27)*Assumptions!$H$47</f>
        <v>1800000</v>
      </c>
    </row>
    <row r="57" spans="1:33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 t="str">
        <f>INDEX(Assumptions!$H$15:$P$24,$H$15,P$13)</f>
        <v>Hub 1</v>
      </c>
      <c r="Q57" s="39" t="str">
        <f>INDEX(Assumptions!$H$15:$P$24,$H$15,Q$13)</f>
        <v>Hub 1</v>
      </c>
      <c r="R57" s="39" t="str">
        <f>INDEX(Assumptions!$H$15:$P$24,$H$15,R$13)</f>
        <v>Hub 1</v>
      </c>
      <c r="S57" s="39" t="str">
        <f>INDEX(Assumptions!$H$15:$P$24,$H$15,S$13)</f>
        <v>Hub 2</v>
      </c>
      <c r="T57" s="39" t="str">
        <f>INDEX(Assumptions!$H$15:$P$24,$H$15,T$13)</f>
        <v>Hub 2</v>
      </c>
      <c r="U57" s="39" t="str">
        <f>INDEX(Assumptions!$H$15:$P$24,$H$15,U$13)</f>
        <v>Hub 2</v>
      </c>
      <c r="V57" s="39" t="str">
        <f>INDEX(Assumptions!$H$15:$P$24,$H$15,V$13)</f>
        <v>Hub 3</v>
      </c>
      <c r="W57" s="39" t="str">
        <f>INDEX(Assumptions!$H$15:$P$24,$H$15,W$13)</f>
        <v>Hub 3</v>
      </c>
      <c r="X57" s="39" t="str">
        <f>INDEX(Assumptions!$H$15:$P$24,$H$15,X$13)</f>
        <v>Hub 3</v>
      </c>
    </row>
    <row r="58" spans="1:33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</row>
    <row r="59" spans="1:33" x14ac:dyDescent="0.2">
      <c r="P59" s="40" t="s">
        <v>81</v>
      </c>
      <c r="Q59" s="40" t="s">
        <v>82</v>
      </c>
      <c r="R59" s="40" t="s">
        <v>83</v>
      </c>
      <c r="S59" s="40" t="s">
        <v>84</v>
      </c>
    </row>
    <row r="60" spans="1:33" x14ac:dyDescent="0.2">
      <c r="O60" s="40" t="s">
        <v>47</v>
      </c>
      <c r="P60" s="39">
        <f>SUMIFS($P$56:$X$56,$P$57:$X$57,$O60)</f>
        <v>5450000</v>
      </c>
      <c r="Q60" s="39">
        <f>SUMIFS($O$17:$O$52,$G$17:$G$52,$O60)</f>
        <v>-168775.6</v>
      </c>
      <c r="R60" s="39">
        <f>SUMIFS($Y$54:$AG$54,$P$57:$X$57,$O60)</f>
        <v>0</v>
      </c>
      <c r="S60" s="43">
        <f>SUM(P60:R60)</f>
        <v>5281224.4000000004</v>
      </c>
      <c r="W60" s="43">
        <f>S63</f>
        <v>10855681.832</v>
      </c>
      <c r="X60" s="43">
        <f>Q63</f>
        <v>-220318.16800000001</v>
      </c>
    </row>
    <row r="61" spans="1:33" x14ac:dyDescent="0.2">
      <c r="O61" s="40" t="s">
        <v>48</v>
      </c>
      <c r="P61" s="39">
        <f t="shared" ref="P61:P62" si="14">SUMIFS($P$56:$X$56,$P$57:$X$57,$O61)</f>
        <v>1402000</v>
      </c>
      <c r="Q61" s="39">
        <f t="shared" ref="Q61:Q62" si="15">SUMIFS($O$17:$O$52,$G$17:$G$52,$O61)</f>
        <v>0</v>
      </c>
      <c r="R61" s="39">
        <f t="shared" ref="R61:R62" si="16">SUMIFS($Y$54:$AG$54,$P$57:$X$57,$O61)</f>
        <v>0</v>
      </c>
      <c r="S61" s="43">
        <f>SUM(P61:R61)</f>
        <v>1402000</v>
      </c>
      <c r="V61" s="40" t="s">
        <v>67</v>
      </c>
      <c r="W61" s="43">
        <f t="dataTable" ref="W61:AC64" dt2D="0" dtr="0" r1="G15"/>
        <v>11702273.192</v>
      </c>
      <c r="X61" s="43">
        <v>-419226.80799999996</v>
      </c>
      <c r="Y61" s="43">
        <v>0</v>
      </c>
      <c r="Z61" s="43">
        <v>0</v>
      </c>
      <c r="AA61" s="43">
        <v>0</v>
      </c>
      <c r="AB61" s="43">
        <v>0</v>
      </c>
      <c r="AC61" s="43">
        <v>0</v>
      </c>
    </row>
    <row r="62" spans="1:33" x14ac:dyDescent="0.2">
      <c r="O62" s="40" t="s">
        <v>49</v>
      </c>
      <c r="P62" s="39">
        <f t="shared" si="14"/>
        <v>4400000</v>
      </c>
      <c r="Q62" s="39">
        <f t="shared" si="15"/>
        <v>-51542.567999999999</v>
      </c>
      <c r="R62" s="39">
        <f t="shared" si="16"/>
        <v>-176000</v>
      </c>
      <c r="S62" s="43">
        <f>SUM(P62:R62)</f>
        <v>4172457.432</v>
      </c>
      <c r="V62" s="40" t="s">
        <v>71</v>
      </c>
      <c r="W62" s="43">
        <v>11764141.300000001</v>
      </c>
      <c r="X62" s="43">
        <v>-599858.69999999995</v>
      </c>
      <c r="Y62" s="43">
        <v>0</v>
      </c>
      <c r="Z62" s="43">
        <v>0</v>
      </c>
      <c r="AA62" s="43">
        <v>0</v>
      </c>
      <c r="AB62" s="43">
        <v>0</v>
      </c>
      <c r="AC62" s="43">
        <v>0</v>
      </c>
    </row>
    <row r="63" spans="1:33" x14ac:dyDescent="0.2">
      <c r="O63" s="40" t="s">
        <v>85</v>
      </c>
      <c r="P63" s="43">
        <f>SUM(P60:P62)</f>
        <v>11252000</v>
      </c>
      <c r="Q63" s="43">
        <f>SUM(Q60:Q62)</f>
        <v>-220318.16800000001</v>
      </c>
      <c r="R63" s="43">
        <f>SUM(R60:R62)</f>
        <v>-176000</v>
      </c>
      <c r="S63" s="43">
        <f>SUM(S60:S62)</f>
        <v>10855681.832</v>
      </c>
      <c r="V63" s="40" t="s">
        <v>86</v>
      </c>
      <c r="W63" s="43">
        <v>10855681.832</v>
      </c>
      <c r="X63" s="43">
        <v>-220318.16800000001</v>
      </c>
      <c r="Y63" s="43">
        <v>0</v>
      </c>
      <c r="Z63" s="43">
        <v>0</v>
      </c>
      <c r="AA63" s="43">
        <v>0</v>
      </c>
      <c r="AB63" s="43">
        <v>0</v>
      </c>
      <c r="AC63" s="43">
        <v>0</v>
      </c>
    </row>
    <row r="64" spans="1:33" x14ac:dyDescent="0.2">
      <c r="V64" s="40" t="s">
        <v>87</v>
      </c>
      <c r="W64" s="43">
        <v>11222681.652000001</v>
      </c>
      <c r="X64" s="43">
        <v>-733318.34799999988</v>
      </c>
      <c r="Y64" s="43">
        <v>0</v>
      </c>
      <c r="Z64" s="43">
        <v>0</v>
      </c>
      <c r="AA64" s="43">
        <v>0</v>
      </c>
      <c r="AB64" s="43">
        <v>0</v>
      </c>
      <c r="AC64" s="43">
        <v>0</v>
      </c>
    </row>
    <row r="66" spans="22:24" x14ac:dyDescent="0.2">
      <c r="V66" s="40" t="s">
        <v>88</v>
      </c>
      <c r="W66" s="43">
        <f>W62-W61</f>
        <v>61868.108000000939</v>
      </c>
    </row>
    <row r="67" spans="22:24" x14ac:dyDescent="0.2">
      <c r="V67" s="40" t="s">
        <v>89</v>
      </c>
      <c r="X67" s="43">
        <f>X63-X64</f>
        <v>513000.17999999988</v>
      </c>
    </row>
  </sheetData>
  <sortState ref="A14:P49">
    <sortCondition ref="F14"/>
  </sortState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Formats</vt:lpstr>
      <vt:lpstr>Assumptions</vt:lpstr>
      <vt:lpstr>Workings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2017-10-07T22:30:38Z</dcterms:modified>
</cp:coreProperties>
</file>